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50" activeTab="1"/>
  </bookViews>
  <sheets>
    <sheet name="Anexa1.3imprnou" sheetId="1" r:id="rId1"/>
    <sheet name="Anexa1.4imprnou" sheetId="2" r:id="rId2"/>
  </sheets>
  <externalReferences>
    <externalReference r:id="rId3"/>
    <externalReference r:id="rId4"/>
  </externalReferences>
  <definedNames>
    <definedName name="Database">#REF!</definedName>
    <definedName name="_xlnm.Print_Area" localSheetId="0">Anexa1.3imprnou!$A$1:$W$34</definedName>
    <definedName name="_xlnm.Print_Area" localSheetId="1">Anexa1.4imprnou!$A$1:$W$53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<sst xmlns="http://schemas.openxmlformats.org/spreadsheetml/2006/main" count="84" uniqueCount="79">
  <si>
    <t>Anexa 1.3</t>
  </si>
  <si>
    <t>SITUATIA</t>
  </si>
  <si>
    <t>privind calculul gradului de indatorare a bugetului local</t>
  </si>
  <si>
    <t>al municipiului Petrosani</t>
  </si>
  <si>
    <t>Mii Lei</t>
  </si>
  <si>
    <t>Nr. Crt.</t>
  </si>
  <si>
    <t>D E N U M I R E A     I N D I C A T O R I L O R</t>
  </si>
  <si>
    <r>
      <rPr>
        <sz val="10"/>
        <rFont val="Arial"/>
        <charset val="134"/>
      </rPr>
      <t>Executie buget local</t>
    </r>
    <r>
      <rPr>
        <vertAlign val="superscript"/>
        <sz val="10"/>
        <rFont val="Arial"/>
        <charset val="134"/>
      </rPr>
      <t>1)</t>
    </r>
    <r>
      <rPr>
        <sz val="10"/>
        <rFont val="Arial"/>
        <charset val="134"/>
      </rPr>
      <t xml:space="preserve"> la 31.XII.2021</t>
    </r>
  </si>
  <si>
    <r>
      <rPr>
        <sz val="10"/>
        <rFont val="Arial"/>
        <charset val="134"/>
      </rPr>
      <t>Executie buget local</t>
    </r>
    <r>
      <rPr>
        <vertAlign val="superscript"/>
        <sz val="10"/>
        <rFont val="Arial"/>
        <charset val="134"/>
      </rPr>
      <t>1)</t>
    </r>
    <r>
      <rPr>
        <sz val="10"/>
        <rFont val="Arial"/>
        <charset val="134"/>
      </rPr>
      <t xml:space="preserve"> la 31.XII.2022</t>
    </r>
  </si>
  <si>
    <r>
      <rPr>
        <sz val="10"/>
        <rFont val="Arial"/>
        <charset val="134"/>
      </rPr>
      <t>Executie buget local</t>
    </r>
    <r>
      <rPr>
        <vertAlign val="superscript"/>
        <sz val="10"/>
        <rFont val="Arial"/>
        <charset val="134"/>
      </rPr>
      <t>1)</t>
    </r>
    <r>
      <rPr>
        <sz val="10"/>
        <rFont val="Arial"/>
        <charset val="134"/>
      </rPr>
      <t xml:space="preserve"> la 31.XII.2023</t>
    </r>
  </si>
  <si>
    <r>
      <rPr>
        <sz val="12"/>
        <rFont val="Arial"/>
        <charset val="134"/>
      </rPr>
      <t>Indicatori pe perioada serviciului datoriei publice locale</t>
    </r>
    <r>
      <rPr>
        <vertAlign val="superscript"/>
        <sz val="12"/>
        <rFont val="Arial"/>
        <charset val="134"/>
      </rPr>
      <t>2)</t>
    </r>
  </si>
  <si>
    <t>A</t>
  </si>
  <si>
    <r>
      <rPr>
        <b/>
        <i/>
        <sz val="12"/>
        <rFont val="Arial"/>
        <charset val="134"/>
      </rPr>
      <t xml:space="preserve">VENITURI PROPRII </t>
    </r>
    <r>
      <rPr>
        <b/>
        <i/>
        <vertAlign val="superscript"/>
        <sz val="12"/>
        <rFont val="Arial"/>
        <charset val="134"/>
      </rPr>
      <t>3)</t>
    </r>
  </si>
  <si>
    <t>Limita de îndatorare 30% din venituri proprii</t>
  </si>
  <si>
    <r>
      <rPr>
        <b/>
        <sz val="10"/>
        <rFont val="Arial"/>
        <charset val="134"/>
      </rPr>
      <t>Serviciul anual al datoriei publice locale</t>
    </r>
    <r>
      <rPr>
        <b/>
        <vertAlign val="superscript"/>
        <sz val="10"/>
        <rFont val="Arial"/>
        <charset val="134"/>
      </rPr>
      <t>4)</t>
    </r>
  </si>
  <si>
    <t>Rambursari</t>
  </si>
  <si>
    <t>Dobânzi</t>
  </si>
  <si>
    <t>Comisioane</t>
  </si>
  <si>
    <t>Gradul de îndatorare- în % ( serviciul anual al datoriei/venituri proprii x100)</t>
  </si>
  <si>
    <t>1) Contul de executie a bugetului local - Venituri ale unitatii administrativ-teritoriale la finele ultimilor 3 ani anteriori anului curent (n)</t>
  </si>
  <si>
    <t>2) Pe perioada serviciului datoriei publice locale al finantarii rambursabile pentru care se solicita autorizarea, pe rd. 1 se inscrie media executiei veniturile proprii ale bugetului local pe ultimii 3 ani, respectiv ( col.1+col.2+col.3)/3.</t>
  </si>
  <si>
    <t>3) Veniturile proprii prevăzute la art. 5 alin. (1) lit. a) din Legea nr. 273/2006 privind finanţele publice locale, cu modificările şi completările ulterioare, diminuate cu veniturile din valorificarea unor bunuri, prevăzute la art. 29 din aceeaşi lege.</t>
  </si>
  <si>
    <t>4) Cuprinde serviciul datoriei publice aferent contractelor/acordurilor de finanţare rambursabilă în derulare şi celor pentru care se solicită autorizarea (trebuie să corespundă cu datele cuprinse în Situaţia estimativă privind serviciului datoriei publice, intocmita conform anexei nr. 1.4 la norme şi proceduri).</t>
  </si>
  <si>
    <t>Nota: Se va avea în vedere ca datele cuprinse în prezenta anexă să concorde cu prevederile din urmatoarele documente: Contul de execuţie a bugetului local - Venituri, Situaţia estimativă privind serviciul datoriei publice.</t>
  </si>
  <si>
    <t>SUBV</t>
  </si>
  <si>
    <t>Transf. voluntare</t>
  </si>
  <si>
    <t>V. val. bun.</t>
  </si>
  <si>
    <t>Subventii UE</t>
  </si>
  <si>
    <t>VP</t>
  </si>
  <si>
    <t>Vcurente</t>
  </si>
  <si>
    <t>SDTVA</t>
  </si>
  <si>
    <t>Ven. Cap</t>
  </si>
  <si>
    <t>Transf</t>
  </si>
  <si>
    <t>Op. fin.</t>
  </si>
  <si>
    <t>Ven Bunuri</t>
  </si>
  <si>
    <t>Anexa1.4</t>
  </si>
  <si>
    <t>Situatie</t>
  </si>
  <si>
    <t>privind serviciul datoriei publice locale al municipiului Petrosani</t>
  </si>
  <si>
    <t>in perioada 2024 - 2036</t>
  </si>
  <si>
    <t>mii lei</t>
  </si>
  <si>
    <t>Serviciul anual al datoriei publice locale</t>
  </si>
  <si>
    <t>Serviciul datoriei publice locale pentru imprumuturi existente (a+b+c+d+e+f+g+h+i+j+k+l)</t>
  </si>
  <si>
    <t>Subtotal rambursari</t>
  </si>
  <si>
    <t>Subtotal dobanzi</t>
  </si>
  <si>
    <t>Subtotal comisioane</t>
  </si>
  <si>
    <t>a) Rambursare credit UNICRDIT5,97</t>
  </si>
  <si>
    <t>b) Dobanzi credit UNICREDIT5,97</t>
  </si>
  <si>
    <t>c) Comisioane credit UNICREDIT5,97</t>
  </si>
  <si>
    <t>Subtotal credit UNICREDIT 5,97</t>
  </si>
  <si>
    <t>d) Rambursare UNICREDIT13</t>
  </si>
  <si>
    <t>e) Dobanzi UNICREDIT13</t>
  </si>
  <si>
    <t>f) Comisioane UNICREDIT13</t>
  </si>
  <si>
    <t>Subtotal UNICREDIT 13</t>
  </si>
  <si>
    <t>g) Rambursare UNICREDIT2</t>
  </si>
  <si>
    <t>h) Dobanzi UNICREDIT2</t>
  </si>
  <si>
    <t>i) Comisioane UNICREDIT2</t>
  </si>
  <si>
    <t>Subtotal UNICREDIT2</t>
  </si>
  <si>
    <t>j) Rambursare BCR14,52</t>
  </si>
  <si>
    <t>k) Dobanzi BCR14,52</t>
  </si>
  <si>
    <t>l) Comisioane BCR14,52</t>
  </si>
  <si>
    <t>Subtotal BCR14,52</t>
  </si>
  <si>
    <t>Serviciul datoriei publice locale pentru care se solicita autorizarea (a+b+c+d+e+f+g+h+i)</t>
  </si>
  <si>
    <t>a) Rambursari</t>
  </si>
  <si>
    <t>b) Dobanzi</t>
  </si>
  <si>
    <t>c) Comisioane</t>
  </si>
  <si>
    <t>Imprumut refinantare (15,6 mil. lei)</t>
  </si>
  <si>
    <t>d) Rambursari</t>
  </si>
  <si>
    <t>e) Dobanzi</t>
  </si>
  <si>
    <t>f) Comisioane</t>
  </si>
  <si>
    <t>Imprumut proiecte buget local (6 mil. lei)</t>
  </si>
  <si>
    <t>g) Rambursari</t>
  </si>
  <si>
    <t>h) Dobanzi</t>
  </si>
  <si>
    <t>i) Comisioane</t>
  </si>
  <si>
    <t>Imprumut proiecte UE (14 mil. lei)</t>
  </si>
  <si>
    <t>Serviciul datoriei publice locale pentru care se solicita autorizarea (a+b+c)</t>
  </si>
  <si>
    <t>Serviciul TOTAL al datoriei publice locale (a+b+c)</t>
  </si>
  <si>
    <t>a) Rambursari (1a+1d+1g+2a)</t>
  </si>
  <si>
    <t>b) Dobanzi (1b+1e+1h+2b)</t>
  </si>
  <si>
    <t>c) Comisioane (1c+1f+1i+2c)</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</si>
</sst>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 #,##0.00\ _l_e_i_-;\-* #,##0.00\ _l_e_i_-;_-* &quot;-&quot;??\ _l_e_i_-;_-@_-"/>
    <numFmt numFmtId="179" formatCode="0.0"/>
    <numFmt numFmtId="180" formatCode="00000"/>
    <numFmt numFmtId="181" formatCode="#,##0.000"/>
  </numFmts>
  <fonts count="40">
    <font>
      <sz val="11"/>
      <color theme="1"/>
      <name val="Calibri"/>
      <charset val="238"/>
      <scheme val="minor"/>
    </font>
    <font>
      <b/>
      <sz val="11"/>
      <color theme="1"/>
      <name val="Calibri"/>
      <charset val="238"/>
      <scheme val="minor"/>
    </font>
    <font>
      <sz val="10"/>
      <color theme="1"/>
      <name val="Arial"/>
      <charset val="134"/>
    </font>
    <font>
      <sz val="9"/>
      <name val="Arial"/>
      <charset val="134"/>
    </font>
    <font>
      <b/>
      <sz val="10"/>
      <name val="Arial"/>
      <charset val="134"/>
    </font>
    <font>
      <sz val="11"/>
      <name val="Calibri"/>
      <charset val="238"/>
      <scheme val="minor"/>
    </font>
    <font>
      <sz val="10"/>
      <name val="Arial"/>
      <charset val="134"/>
    </font>
    <font>
      <sz val="12"/>
      <name val="Arial"/>
      <charset val="134"/>
    </font>
    <font>
      <b/>
      <i/>
      <sz val="12"/>
      <name val="Arial"/>
      <charset val="134"/>
    </font>
    <font>
      <b/>
      <sz val="12"/>
      <name val="Arial"/>
      <charset val="134"/>
    </font>
    <font>
      <vertAlign val="superscript"/>
      <sz val="12"/>
      <name val="Arial"/>
      <charset val="134"/>
    </font>
    <font>
      <vertAlign val="superscript"/>
      <sz val="10"/>
      <name val="Arial"/>
      <charset val="134"/>
    </font>
    <font>
      <sz val="10"/>
      <color theme="0"/>
      <name val="Arial"/>
      <charset val="134"/>
    </font>
    <font>
      <b/>
      <sz val="10"/>
      <color theme="0"/>
      <name val="Arial"/>
      <charset val="134"/>
    </font>
    <font>
      <sz val="11"/>
      <color theme="0"/>
      <name val="Calibri"/>
      <charset val="238"/>
      <scheme val="minor"/>
    </font>
    <font>
      <sz val="11"/>
      <name val="Arial"/>
      <charset val="134"/>
    </font>
    <font>
      <sz val="11"/>
      <color theme="1"/>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Tahoma"/>
      <charset val="134"/>
    </font>
    <font>
      <b/>
      <i/>
      <vertAlign val="superscript"/>
      <sz val="12"/>
      <name val="Arial"/>
      <charset val="134"/>
    </font>
    <font>
      <b/>
      <vertAlign val="superscrip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style="thin">
        <color auto="1"/>
      </bottom>
      <diagonal/>
    </border>
    <border>
      <left/>
      <right/>
      <top style="medium">
        <color auto="1"/>
      </top>
      <bottom/>
      <diagonal/>
    </border>
    <border>
      <left/>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177"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2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3" borderId="27" applyNumberFormat="0" applyAlignment="0" applyProtection="0">
      <alignment vertical="center"/>
    </xf>
    <xf numFmtId="0" fontId="27" fillId="4" borderId="28" applyNumberFormat="0" applyAlignment="0" applyProtection="0">
      <alignment vertical="center"/>
    </xf>
    <xf numFmtId="0" fontId="28" fillId="4" borderId="27" applyNumberFormat="0" applyAlignment="0" applyProtection="0">
      <alignment vertical="center"/>
    </xf>
    <xf numFmtId="0" fontId="29" fillId="5" borderId="29" applyNumberFormat="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8" fontId="0" fillId="0" borderId="0" applyFont="0" applyFill="0" applyBorder="0" applyAlignment="0" applyProtection="0"/>
    <xf numFmtId="0" fontId="6" fillId="0" borderId="0"/>
    <xf numFmtId="0" fontId="6" fillId="0" borderId="0"/>
    <xf numFmtId="0" fontId="37" fillId="0" borderId="0"/>
  </cellStyleXfs>
  <cellXfs count="125">
    <xf numFmtId="0" fontId="0" fillId="0" borderId="0" xfId="0"/>
    <xf numFmtId="0" fontId="1" fillId="0" borderId="0" xfId="0" applyFont="1"/>
    <xf numFmtId="0" fontId="2" fillId="0" borderId="0" xfId="0" applyFont="1"/>
    <xf numFmtId="3" fontId="3" fillId="0" borderId="0" xfId="50" applyNumberFormat="1" applyFont="1" applyAlignment="1">
      <alignment horizontal="center" vertical="center"/>
    </xf>
    <xf numFmtId="3" fontId="3" fillId="0" borderId="0" xfId="50" applyNumberFormat="1" applyFont="1" applyAlignment="1">
      <alignment horizontal="center"/>
    </xf>
    <xf numFmtId="0" fontId="1" fillId="0" borderId="1" xfId="0" applyFont="1" applyBorder="1"/>
    <xf numFmtId="0" fontId="4" fillId="0" borderId="2" xfId="0" applyFont="1" applyBorder="1" applyAlignment="1">
      <alignment horizontal="center" wrapText="1"/>
    </xf>
    <xf numFmtId="0" fontId="4" fillId="0" borderId="3" xfId="0" applyFont="1" applyBorder="1" applyAlignment="1">
      <alignment horizontal="center"/>
    </xf>
    <xf numFmtId="0" fontId="5" fillId="0" borderId="4" xfId="0" applyFont="1" applyBorder="1" applyAlignment="1">
      <alignment horizontal="center" vertical="center"/>
    </xf>
    <xf numFmtId="0" fontId="4" fillId="0" borderId="5" xfId="0" applyFont="1" applyBorder="1" applyAlignment="1">
      <alignment wrapText="1"/>
    </xf>
    <xf numFmtId="4" fontId="4" fillId="0" borderId="6" xfId="0" applyNumberFormat="1" applyFont="1" applyBorder="1" applyAlignment="1">
      <alignment wrapText="1"/>
    </xf>
    <xf numFmtId="3" fontId="4" fillId="0" borderId="6" xfId="0" applyNumberFormat="1" applyFont="1" applyBorder="1" applyAlignment="1">
      <alignment wrapText="1"/>
    </xf>
    <xf numFmtId="0" fontId="5" fillId="0" borderId="7" xfId="0" applyFont="1" applyBorder="1" applyAlignment="1">
      <alignment horizontal="center" vertical="center"/>
    </xf>
    <xf numFmtId="0" fontId="4" fillId="0" borderId="5" xfId="50" applyFont="1" applyBorder="1" applyAlignment="1">
      <alignment wrapText="1"/>
    </xf>
    <xf numFmtId="2" fontId="6" fillId="0" borderId="5" xfId="0" applyNumberFormat="1" applyFont="1" applyBorder="1" applyAlignment="1">
      <alignment vertical="center" wrapText="1"/>
    </xf>
    <xf numFmtId="4" fontId="6" fillId="0" borderId="6" xfId="0" applyNumberFormat="1" applyFont="1" applyBorder="1" applyAlignment="1">
      <alignment vertical="center" wrapText="1"/>
    </xf>
    <xf numFmtId="3" fontId="6" fillId="0" borderId="6" xfId="0" applyNumberFormat="1" applyFont="1" applyBorder="1" applyAlignment="1">
      <alignment vertical="center" wrapText="1"/>
    </xf>
    <xf numFmtId="2" fontId="4" fillId="0" borderId="5" xfId="0" applyNumberFormat="1" applyFont="1" applyBorder="1" applyAlignment="1">
      <alignment vertical="center" wrapText="1"/>
    </xf>
    <xf numFmtId="4" fontId="4" fillId="0" borderId="6" xfId="0" applyNumberFormat="1" applyFont="1" applyBorder="1" applyAlignment="1">
      <alignment vertical="center" wrapText="1"/>
    </xf>
    <xf numFmtId="3" fontId="4" fillId="0" borderId="6" xfId="0" applyNumberFormat="1" applyFont="1" applyBorder="1" applyAlignment="1">
      <alignment vertical="center" wrapText="1"/>
    </xf>
    <xf numFmtId="4" fontId="6" fillId="0" borderId="6" xfId="0" applyNumberFormat="1" applyFont="1" applyBorder="1" applyAlignment="1">
      <alignment vertical="center"/>
    </xf>
    <xf numFmtId="3" fontId="6" fillId="0" borderId="6" xfId="0" applyNumberFormat="1" applyFont="1" applyBorder="1" applyAlignment="1">
      <alignment vertical="center"/>
    </xf>
    <xf numFmtId="0" fontId="4" fillId="0" borderId="5" xfId="0" applyFont="1" applyBorder="1" applyAlignment="1">
      <alignment vertical="center" wrapText="1"/>
    </xf>
    <xf numFmtId="4" fontId="4" fillId="0" borderId="6" xfId="0" applyNumberFormat="1" applyFont="1" applyBorder="1" applyAlignment="1">
      <alignment vertical="center"/>
    </xf>
    <xf numFmtId="3" fontId="4" fillId="0" borderId="6" xfId="0" applyNumberFormat="1" applyFont="1" applyBorder="1" applyAlignment="1">
      <alignment vertical="center"/>
    </xf>
    <xf numFmtId="0" fontId="6" fillId="0" borderId="5"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vertical="center" wrapText="1"/>
    </xf>
    <xf numFmtId="4" fontId="6" fillId="0" borderId="13" xfId="0" applyNumberFormat="1" applyFont="1" applyBorder="1" applyAlignment="1">
      <alignment vertical="center" wrapText="1"/>
    </xf>
    <xf numFmtId="3" fontId="6" fillId="0" borderId="13" xfId="0" applyNumberFormat="1" applyFont="1" applyBorder="1"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51"/>
    <xf numFmtId="0" fontId="6" fillId="0" borderId="0" xfId="0" applyFont="1"/>
    <xf numFmtId="0" fontId="2" fillId="0" borderId="0" xfId="0" applyFont="1" applyAlignment="1">
      <alignment horizontal="center"/>
    </xf>
    <xf numFmtId="3" fontId="6" fillId="0" borderId="6" xfId="49" applyNumberFormat="1" applyFont="1" applyFill="1" applyBorder="1" applyAlignment="1">
      <alignment vertical="center" wrapText="1"/>
    </xf>
    <xf numFmtId="0" fontId="6" fillId="0" borderId="0" xfId="0" applyFont="1" applyAlignment="1">
      <alignment vertical="center"/>
    </xf>
    <xf numFmtId="0" fontId="4" fillId="0" borderId="14" xfId="0" applyFont="1" applyBorder="1" applyAlignment="1">
      <alignment horizontal="center"/>
    </xf>
    <xf numFmtId="3" fontId="4" fillId="0" borderId="15" xfId="0" applyNumberFormat="1" applyFont="1" applyBorder="1" applyAlignment="1">
      <alignment wrapText="1"/>
    </xf>
    <xf numFmtId="3" fontId="6" fillId="0" borderId="15" xfId="0" applyNumberFormat="1" applyFont="1" applyBorder="1" applyAlignment="1">
      <alignment vertical="center" wrapText="1"/>
    </xf>
    <xf numFmtId="3" fontId="4" fillId="0" borderId="15" xfId="0" applyNumberFormat="1" applyFont="1" applyBorder="1" applyAlignment="1">
      <alignment vertical="center" wrapText="1"/>
    </xf>
    <xf numFmtId="3" fontId="6" fillId="0" borderId="15" xfId="0" applyNumberFormat="1" applyFont="1" applyBorder="1" applyAlignment="1">
      <alignment vertical="center"/>
    </xf>
    <xf numFmtId="3" fontId="4" fillId="0" borderId="15" xfId="0" applyNumberFormat="1" applyFont="1" applyBorder="1" applyAlignment="1">
      <alignment vertical="center"/>
    </xf>
    <xf numFmtId="3" fontId="0" fillId="0" borderId="0" xfId="0" applyNumberFormat="1"/>
    <xf numFmtId="3" fontId="6" fillId="0" borderId="16" xfId="0" applyNumberFormat="1" applyFont="1" applyBorder="1" applyAlignment="1">
      <alignment vertical="center" wrapText="1"/>
    </xf>
    <xf numFmtId="0" fontId="6" fillId="0" borderId="0" xfId="51" applyAlignment="1">
      <alignment horizontal="center" vertical="center"/>
    </xf>
    <xf numFmtId="0" fontId="6" fillId="0" borderId="0" xfId="0" applyFont="1" applyAlignment="1">
      <alignment horizontal="center"/>
    </xf>
    <xf numFmtId="58" fontId="6" fillId="0" borderId="0" xfId="0" applyNumberFormat="1" applyFont="1" applyAlignment="1">
      <alignment horizontal="center"/>
    </xf>
    <xf numFmtId="0" fontId="6" fillId="0" borderId="0" xfId="52" applyFont="1"/>
    <xf numFmtId="179" fontId="6" fillId="0" borderId="0" xfId="52" applyNumberFormat="1" applyFont="1" applyAlignment="1">
      <alignment vertical="center"/>
    </xf>
    <xf numFmtId="0" fontId="6" fillId="0" borderId="0" xfId="52" applyFont="1" applyAlignment="1">
      <alignment vertical="center"/>
    </xf>
    <xf numFmtId="0" fontId="6" fillId="0" borderId="0" xfId="52" applyFont="1" applyAlignment="1">
      <alignment horizontal="center" vertical="center"/>
    </xf>
    <xf numFmtId="0" fontId="6" fillId="0" borderId="0" xfId="52" applyFont="1" applyAlignment="1">
      <alignment horizontal="left" vertical="top"/>
    </xf>
    <xf numFmtId="0" fontId="6" fillId="0" borderId="0" xfId="52" applyFont="1" applyAlignment="1">
      <alignment horizontal="left" vertical="center"/>
    </xf>
    <xf numFmtId="0" fontId="0" fillId="0" borderId="2" xfId="0" applyBorder="1" applyAlignment="1">
      <alignment horizontal="justify" vertical="center"/>
    </xf>
    <xf numFmtId="0" fontId="6" fillId="0" borderId="3" xfId="52" applyFont="1" applyBorder="1" applyAlignment="1">
      <alignment horizontal="center" vertical="center" wrapText="1"/>
    </xf>
    <xf numFmtId="1" fontId="6" fillId="0" borderId="3" xfId="51" applyNumberFormat="1" applyBorder="1" applyAlignment="1">
      <alignment horizontal="center" vertical="center" wrapText="1"/>
    </xf>
    <xf numFmtId="1" fontId="6" fillId="0" borderId="14" xfId="51" applyNumberFormat="1" applyBorder="1" applyAlignment="1">
      <alignment horizontal="center" vertical="center" wrapText="1"/>
    </xf>
    <xf numFmtId="180" fontId="7" fillId="0" borderId="17" xfId="0" applyNumberFormat="1" applyFont="1" applyBorder="1" applyAlignment="1">
      <alignment horizontal="center" vertical="center" wrapText="1"/>
    </xf>
    <xf numFmtId="0" fontId="0" fillId="0" borderId="5" xfId="0" applyBorder="1" applyAlignment="1">
      <alignment horizontal="justify" vertical="center"/>
    </xf>
    <xf numFmtId="0" fontId="6" fillId="0" borderId="6" xfId="52" applyFont="1" applyBorder="1" applyAlignment="1">
      <alignment horizontal="center" vertical="center" wrapText="1"/>
    </xf>
    <xf numFmtId="1" fontId="6" fillId="0" borderId="6" xfId="51" applyNumberFormat="1" applyBorder="1" applyAlignment="1">
      <alignment horizontal="center" vertical="center" wrapText="1"/>
    </xf>
    <xf numFmtId="1" fontId="6" fillId="0" borderId="15" xfId="51" applyNumberFormat="1" applyBorder="1" applyAlignment="1">
      <alignment horizontal="center" vertical="center" wrapText="1"/>
    </xf>
    <xf numFmtId="180" fontId="7" fillId="0" borderId="10" xfId="0" applyNumberFormat="1" applyFont="1" applyBorder="1" applyAlignment="1">
      <alignment horizontal="center" vertical="center" wrapText="1"/>
    </xf>
    <xf numFmtId="180" fontId="7" fillId="0" borderId="18"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xf numFmtId="0" fontId="6" fillId="0" borderId="15" xfId="52" applyFont="1" applyBorder="1" applyAlignment="1">
      <alignment horizontal="center" vertical="center" wrapText="1"/>
    </xf>
    <xf numFmtId="0" fontId="6" fillId="0" borderId="5" xfId="52" applyFont="1" applyBorder="1" applyAlignment="1">
      <alignment horizontal="center" vertical="center" wrapText="1"/>
    </xf>
    <xf numFmtId="0" fontId="8" fillId="0" borderId="6" xfId="0" applyFont="1" applyBorder="1" applyAlignment="1">
      <alignment horizontal="left"/>
    </xf>
    <xf numFmtId="3" fontId="4" fillId="0" borderId="6" xfId="52" applyNumberFormat="1" applyFont="1" applyBorder="1" applyAlignment="1">
      <alignment horizontal="right"/>
    </xf>
    <xf numFmtId="3" fontId="4" fillId="0" borderId="5" xfId="52" applyNumberFormat="1" applyFont="1" applyBorder="1" applyAlignment="1">
      <alignment horizontal="right"/>
    </xf>
    <xf numFmtId="2" fontId="9" fillId="0" borderId="6" xfId="52" applyNumberFormat="1" applyFont="1" applyBorder="1" applyAlignment="1">
      <alignment horizontal="left"/>
    </xf>
    <xf numFmtId="3" fontId="6" fillId="0" borderId="6" xfId="52" applyNumberFormat="1" applyFont="1" applyBorder="1" applyAlignment="1">
      <alignment horizontal="right"/>
    </xf>
    <xf numFmtId="3" fontId="6" fillId="0" borderId="15" xfId="52" applyNumberFormat="1" applyFont="1" applyBorder="1" applyAlignment="1">
      <alignment horizontal="right"/>
    </xf>
    <xf numFmtId="3" fontId="6" fillId="0" borderId="5" xfId="52" applyNumberFormat="1" applyFont="1" applyBorder="1" applyAlignment="1">
      <alignment horizontal="right"/>
    </xf>
    <xf numFmtId="2" fontId="4" fillId="0" borderId="6" xfId="52" applyNumberFormat="1" applyFont="1" applyBorder="1"/>
    <xf numFmtId="2" fontId="6" fillId="0" borderId="6" xfId="52" applyNumberFormat="1" applyFont="1" applyBorder="1"/>
    <xf numFmtId="4" fontId="6" fillId="0" borderId="6" xfId="52" applyNumberFormat="1" applyFont="1" applyBorder="1"/>
    <xf numFmtId="4" fontId="6" fillId="0" borderId="15" xfId="52" applyNumberFormat="1" applyFont="1" applyBorder="1"/>
    <xf numFmtId="3" fontId="6" fillId="0" borderId="5" xfId="52" applyNumberFormat="1" applyFont="1" applyBorder="1"/>
    <xf numFmtId="2" fontId="6" fillId="0" borderId="6" xfId="52" applyNumberFormat="1" applyFont="1" applyBorder="1" applyAlignment="1">
      <alignment horizontal="left"/>
    </xf>
    <xf numFmtId="4" fontId="6" fillId="0" borderId="6" xfId="52" applyNumberFormat="1" applyFont="1" applyBorder="1" applyAlignment="1">
      <alignment horizontal="right"/>
    </xf>
    <xf numFmtId="0" fontId="0" fillId="0" borderId="12" xfId="0" applyBorder="1"/>
    <xf numFmtId="0" fontId="4" fillId="0" borderId="13" xfId="52" applyFont="1" applyBorder="1" applyAlignment="1">
      <alignment horizontal="left" wrapText="1"/>
    </xf>
    <xf numFmtId="10" fontId="6" fillId="0" borderId="13" xfId="52" applyNumberFormat="1" applyFont="1" applyBorder="1"/>
    <xf numFmtId="10" fontId="6" fillId="0" borderId="16" xfId="52" applyNumberFormat="1" applyFont="1" applyBorder="1"/>
    <xf numFmtId="10" fontId="6" fillId="0" borderId="12" xfId="52" applyNumberFormat="1" applyFont="1" applyBorder="1"/>
    <xf numFmtId="0" fontId="6" fillId="0" borderId="0" xfId="52" applyFont="1" applyAlignment="1">
      <alignment horizontal="left" indent="4"/>
    </xf>
    <xf numFmtId="0" fontId="10" fillId="0" borderId="0" xfId="52" applyFont="1" applyAlignment="1">
      <alignment horizontal="left"/>
    </xf>
    <xf numFmtId="0" fontId="10" fillId="0" borderId="0" xfId="52" applyFont="1" applyAlignment="1">
      <alignment horizontal="left" vertical="justify"/>
    </xf>
    <xf numFmtId="0" fontId="7" fillId="0" borderId="0" xfId="52" applyFont="1" applyAlignment="1">
      <alignment horizontal="left" wrapText="1"/>
    </xf>
    <xf numFmtId="0" fontId="6" fillId="0" borderId="0" xfId="52" applyFont="1" applyAlignment="1">
      <alignment horizontal="center"/>
    </xf>
    <xf numFmtId="0" fontId="10" fillId="0" borderId="0" xfId="0" applyFont="1"/>
    <xf numFmtId="0" fontId="7" fillId="0" borderId="0" xfId="0" applyFont="1"/>
    <xf numFmtId="0" fontId="7" fillId="0" borderId="0" xfId="52" applyFont="1" applyAlignment="1">
      <alignment horizontal="center"/>
    </xf>
    <xf numFmtId="0" fontId="11" fillId="0" borderId="0" xfId="52" applyFont="1" applyAlignment="1">
      <alignment horizontal="left" vertical="justify"/>
    </xf>
    <xf numFmtId="0" fontId="12" fillId="0" borderId="0" xfId="0" applyFont="1"/>
    <xf numFmtId="0" fontId="13" fillId="0" borderId="0" xfId="0" applyFont="1" applyAlignment="1">
      <alignment horizontal="right"/>
    </xf>
    <xf numFmtId="0" fontId="5" fillId="0" borderId="0" xfId="0" applyFont="1"/>
    <xf numFmtId="0" fontId="12" fillId="0" borderId="0" xfId="0" applyFont="1" applyAlignment="1">
      <alignment horizontal="right"/>
    </xf>
    <xf numFmtId="0" fontId="14" fillId="0" borderId="0" xfId="0" applyFont="1"/>
    <xf numFmtId="180" fontId="7" fillId="0" borderId="19" xfId="0" applyNumberFormat="1" applyFont="1" applyBorder="1" applyAlignment="1">
      <alignment horizontal="center" vertical="center" wrapText="1"/>
    </xf>
    <xf numFmtId="180" fontId="7" fillId="0" borderId="0" xfId="0" applyNumberFormat="1" applyFont="1" applyAlignment="1">
      <alignment horizontal="center" vertical="center" wrapText="1"/>
    </xf>
    <xf numFmtId="180" fontId="7" fillId="0" borderId="20" xfId="0" applyNumberFormat="1" applyFont="1" applyBorder="1" applyAlignment="1">
      <alignment horizontal="center" vertical="center" wrapText="1"/>
    </xf>
    <xf numFmtId="3" fontId="6" fillId="0" borderId="6" xfId="52" applyNumberFormat="1" applyFont="1" applyBorder="1"/>
    <xf numFmtId="4" fontId="6" fillId="0" borderId="0" xfId="0" applyNumberFormat="1" applyFont="1"/>
    <xf numFmtId="4" fontId="0" fillId="0" borderId="0" xfId="0" applyNumberFormat="1"/>
    <xf numFmtId="58" fontId="6" fillId="0" borderId="0" xfId="0" applyNumberFormat="1" applyFont="1"/>
    <xf numFmtId="0" fontId="4" fillId="0" borderId="0" xfId="0" applyFont="1"/>
    <xf numFmtId="0" fontId="13" fillId="0" borderId="0" xfId="0" applyFont="1" applyAlignment="1">
      <alignment horizontal="center"/>
    </xf>
    <xf numFmtId="58" fontId="4" fillId="0" borderId="0" xfId="0" applyNumberFormat="1" applyFont="1"/>
    <xf numFmtId="181" fontId="12" fillId="0" borderId="0" xfId="0" applyNumberFormat="1" applyFont="1"/>
    <xf numFmtId="0" fontId="15" fillId="0" borderId="0" xfId="0" applyFont="1"/>
    <xf numFmtId="0" fontId="16" fillId="0" borderId="0" xfId="0" applyFont="1"/>
    <xf numFmtId="180" fontId="7" fillId="0" borderId="21" xfId="0" applyNumberFormat="1" applyFont="1" applyBorder="1" applyAlignment="1">
      <alignment horizontal="center" vertical="center" wrapText="1"/>
    </xf>
    <xf numFmtId="180" fontId="7" fillId="0" borderId="22" xfId="0" applyNumberFormat="1" applyFont="1" applyBorder="1" applyAlignment="1">
      <alignment horizontal="center" vertical="center" wrapText="1"/>
    </xf>
    <xf numFmtId="180" fontId="7" fillId="0" borderId="23" xfId="0" applyNumberFormat="1" applyFont="1" applyBorder="1" applyAlignment="1">
      <alignment horizontal="center" vertical="center" wrapText="1"/>
    </xf>
    <xf numFmtId="0" fontId="6" fillId="0" borderId="15" xfId="0" applyFont="1" applyBorder="1" applyAlignment="1">
      <alignment horizontal="center" vertical="center" wrapText="1"/>
    </xf>
    <xf numFmtId="3" fontId="4" fillId="0" borderId="15" xfId="52" applyNumberFormat="1" applyFont="1" applyBorder="1" applyAlignment="1">
      <alignment horizontal="right"/>
    </xf>
    <xf numFmtId="3" fontId="6" fillId="0" borderId="15" xfId="52" applyNumberFormat="1" applyFont="1" applyBorder="1"/>
  </cellXfs>
  <cellStyles count="5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2" xfId="49"/>
    <cellStyle name="Normal 2 2" xfId="50"/>
    <cellStyle name="Normal_mach03" xfId="51"/>
    <cellStyle name="Normal_Machete buget 99"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01.VMB_Consultanta_Semnate\Petrosani\2024\MontajIunie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d.docs.live.net\Users\User\Dropbox\VMB%20(1)\03.Pregatire_Necontractate\Mangalia\montaj%20credit%20februarie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tirestante"/>
      <sheetName val="Bugetscurt"/>
      <sheetName val="Sinteza"/>
      <sheetName val="Indicatori"/>
      <sheetName val="Anexa 1.3curent"/>
      <sheetName val="Anexa 1.4curent"/>
      <sheetName val="Anexa1.3imprnou"/>
      <sheetName val="Anexa1.4imprnou"/>
      <sheetName val="ImprumutNou"/>
      <sheetName val="ImprumutNouUE"/>
      <sheetName val="Imprumutbugetlocal"/>
      <sheetName val="ImprumutRefin"/>
      <sheetName val="Sheet1"/>
      <sheetName val="Grafic"/>
      <sheetName val="outstanding"/>
      <sheetName val="UNICREDIT5,97"/>
      <sheetName val="UNICREDIT13"/>
      <sheetName val="UNICREDIT2"/>
      <sheetName val="BCR14,84"/>
    </sheetNames>
    <sheetDataSet>
      <sheetData sheetId="0"/>
      <sheetData sheetId="1"/>
      <sheetData sheetId="2"/>
      <sheetData sheetId="3"/>
      <sheetData sheetId="4">
        <row r="1">
          <cell r="A1" t="str">
            <v>Consiliul Local Petrosani</v>
          </cell>
        </row>
        <row r="2">
          <cell r="A2" t="str">
            <v>Judeţul Hunedoara</v>
          </cell>
        </row>
        <row r="14">
          <cell r="D14">
            <v>46722.432</v>
          </cell>
          <cell r="E14">
            <v>46805.70543</v>
          </cell>
          <cell r="F14">
            <v>49519.53123</v>
          </cell>
        </row>
      </sheetData>
      <sheetData sheetId="5"/>
      <sheetData sheetId="6">
        <row r="1">
          <cell r="B1" t="str">
            <v>Consiliul Local Petrosani</v>
          </cell>
        </row>
        <row r="2">
          <cell r="B2" t="str">
            <v>Judeţul Hunedoara</v>
          </cell>
        </row>
      </sheetData>
      <sheetData sheetId="7">
        <row r="45">
          <cell r="G45">
            <v>4223.74821707075</v>
          </cell>
          <cell r="H45">
            <v>1950</v>
          </cell>
          <cell r="I45">
            <v>2674</v>
          </cell>
          <cell r="J45">
            <v>4666.92311474232</v>
          </cell>
          <cell r="K45">
            <v>5586.78979914899</v>
          </cell>
          <cell r="L45">
            <v>5869.0140279383</v>
          </cell>
          <cell r="M45">
            <v>13604.085012034</v>
          </cell>
          <cell r="N45">
            <v>7044.11635259182</v>
          </cell>
          <cell r="O45">
            <v>6714.00549409188</v>
          </cell>
          <cell r="P45">
            <v>6383.89463559194</v>
          </cell>
          <cell r="Q45">
            <v>6053.783777092</v>
          </cell>
          <cell r="R45">
            <v>5723.67291859206</v>
          </cell>
          <cell r="S45">
            <v>5393.62257736806</v>
          </cell>
          <cell r="T45">
            <v>1785.5145270419</v>
          </cell>
          <cell r="U45">
            <v>1681.35807909265</v>
          </cell>
          <cell r="V45">
            <v>1449.74635954618</v>
          </cell>
        </row>
        <row r="46">
          <cell r="G46">
            <v>3440.21464</v>
          </cell>
          <cell r="H46">
            <v>1099.6354</v>
          </cell>
          <cell r="I46">
            <v>1319.56248</v>
          </cell>
          <cell r="J46">
            <v>2723.43811752977</v>
          </cell>
          <cell r="K46">
            <v>3385.79852027447</v>
          </cell>
          <cell r="L46">
            <v>3385.79852027447</v>
          </cell>
          <cell r="M46">
            <v>10891.1016193717</v>
          </cell>
          <cell r="N46">
            <v>4915.26177944114</v>
          </cell>
          <cell r="O46">
            <v>4915.26177944114</v>
          </cell>
          <cell r="P46">
            <v>4915.26177944114</v>
          </cell>
          <cell r="Q46">
            <v>4915.26177944114</v>
          </cell>
          <cell r="R46">
            <v>4915.26177944114</v>
          </cell>
          <cell r="S46">
            <v>4915.26309944118</v>
          </cell>
          <cell r="T46">
            <v>1529.46325916666</v>
          </cell>
          <cell r="U46">
            <v>1529.46325916666</v>
          </cell>
          <cell r="V46">
            <v>1402.00798756944</v>
          </cell>
        </row>
        <row r="47">
          <cell r="G47">
            <v>708.18489084575</v>
          </cell>
          <cell r="H47">
            <v>850</v>
          </cell>
          <cell r="I47">
            <v>1355.33607</v>
          </cell>
          <cell r="J47">
            <v>1890.6274543188</v>
          </cell>
          <cell r="K47">
            <v>2200.99127887452</v>
          </cell>
          <cell r="L47">
            <v>2483.21550766383</v>
          </cell>
          <cell r="M47">
            <v>2712.98339266233</v>
          </cell>
          <cell r="N47">
            <v>2128.85457315069</v>
          </cell>
          <cell r="O47">
            <v>1798.74371465074</v>
          </cell>
          <cell r="P47">
            <v>1468.6328561508</v>
          </cell>
          <cell r="Q47">
            <v>1138.52199765086</v>
          </cell>
          <cell r="R47">
            <v>808.41113915092</v>
          </cell>
          <cell r="S47">
            <v>478.359477926879</v>
          </cell>
          <cell r="T47">
            <v>256.05126787524</v>
          </cell>
          <cell r="U47">
            <v>151.89481992599</v>
          </cell>
          <cell r="V47">
            <v>47.7383719767405</v>
          </cell>
        </row>
        <row r="48">
          <cell r="G48">
            <v>75.348686225</v>
          </cell>
          <cell r="H48">
            <v>0</v>
          </cell>
          <cell r="I48">
            <v>0</v>
          </cell>
          <cell r="J48">
            <v>52.85754289375</v>
          </cell>
          <cell r="K48">
            <v>0</v>
          </cell>
          <cell r="L48">
            <v>0</v>
          </cell>
          <cell r="M48">
            <v>0</v>
          </cell>
          <cell r="N48">
            <v>0</v>
          </cell>
          <cell r="O48">
            <v>0</v>
          </cell>
          <cell r="P48">
            <v>0</v>
          </cell>
          <cell r="Q48">
            <v>0</v>
          </cell>
          <cell r="R48">
            <v>0</v>
          </cell>
          <cell r="S48">
            <v>0</v>
          </cell>
          <cell r="T48">
            <v>0</v>
          </cell>
          <cell r="U48">
            <v>0</v>
          </cell>
          <cell r="V48">
            <v>0</v>
          </cell>
        </row>
      </sheetData>
      <sheetData sheetId="8">
        <row r="3">
          <cell r="U3">
            <v>0</v>
          </cell>
          <cell r="V3">
            <v>0</v>
          </cell>
          <cell r="W3">
            <v>0</v>
          </cell>
          <cell r="X3">
            <v>7505.30309909722</v>
          </cell>
          <cell r="Y3">
            <v>1529.46325916666</v>
          </cell>
          <cell r="Z3">
            <v>1529.46325916666</v>
          </cell>
          <cell r="AA3">
            <v>1529.46325916666</v>
          </cell>
          <cell r="AB3">
            <v>1529.46325916666</v>
          </cell>
          <cell r="AC3">
            <v>1529.46325916666</v>
          </cell>
          <cell r="AD3">
            <v>1529.46325916666</v>
          </cell>
          <cell r="AE3">
            <v>1529.46325916666</v>
          </cell>
          <cell r="AF3">
            <v>1529.46325916666</v>
          </cell>
          <cell r="AG3">
            <v>1402.00798756944</v>
          </cell>
        </row>
        <row r="4">
          <cell r="U4">
            <v>0</v>
          </cell>
          <cell r="V4">
            <v>275.2634296425</v>
          </cell>
          <cell r="W4">
            <v>783.4420689825</v>
          </cell>
          <cell r="X4">
            <v>1239.16436453169</v>
          </cell>
          <cell r="Y4">
            <v>880.989955570739</v>
          </cell>
          <cell r="Z4">
            <v>776.83350762149</v>
          </cell>
          <cell r="AA4">
            <v>672.67705967224</v>
          </cell>
          <cell r="AB4">
            <v>568.520611722991</v>
          </cell>
          <cell r="AC4">
            <v>464.36416377374</v>
          </cell>
          <cell r="AD4">
            <v>360.20771582449</v>
          </cell>
          <cell r="AE4">
            <v>256.05126787524</v>
          </cell>
          <cell r="AF4">
            <v>151.89481992599</v>
          </cell>
          <cell r="AG4">
            <v>47.7383719767405</v>
          </cell>
        </row>
        <row r="5">
          <cell r="U5">
            <v>52.85754289375</v>
          </cell>
          <cell r="V5">
            <v>0</v>
          </cell>
          <cell r="W5">
            <v>0</v>
          </cell>
          <cell r="X5">
            <v>0</v>
          </cell>
          <cell r="Y5">
            <v>0</v>
          </cell>
          <cell r="Z5">
            <v>0</v>
          </cell>
          <cell r="AA5">
            <v>0</v>
          </cell>
          <cell r="AB5">
            <v>0</v>
          </cell>
          <cell r="AC5">
            <v>0</v>
          </cell>
          <cell r="AD5">
            <v>0</v>
          </cell>
          <cell r="AE5">
            <v>0</v>
          </cell>
          <cell r="AF5">
            <v>0</v>
          </cell>
          <cell r="AG5">
            <v>0</v>
          </cell>
        </row>
      </sheetData>
      <sheetData sheetId="9">
        <row r="3">
          <cell r="R3">
            <v>0</v>
          </cell>
          <cell r="S3">
            <v>0</v>
          </cell>
          <cell r="T3">
            <v>0</v>
          </cell>
          <cell r="U3">
            <v>913.513908355455</v>
          </cell>
          <cell r="V3">
            <v>1454.05401018273</v>
          </cell>
          <cell r="W3">
            <v>1454.05401018273</v>
          </cell>
          <cell r="X3">
            <v>1454.05401018273</v>
          </cell>
          <cell r="Y3">
            <v>1454.05401018273</v>
          </cell>
          <cell r="Z3">
            <v>1454.05401018273</v>
          </cell>
          <cell r="AA3">
            <v>1454.05401018273</v>
          </cell>
          <cell r="AB3">
            <v>1454.05401018273</v>
          </cell>
          <cell r="AC3">
            <v>1454.05401018273</v>
          </cell>
          <cell r="AD3">
            <v>1454.05401018273</v>
          </cell>
          <cell r="AE3">
            <v>0</v>
          </cell>
        </row>
        <row r="4">
          <cell r="R4">
            <v>0</v>
          </cell>
          <cell r="S4">
            <v>11.81379</v>
          </cell>
          <cell r="T4">
            <v>205.86613</v>
          </cell>
          <cell r="U4">
            <v>683.795568183626</v>
          </cell>
          <cell r="V4">
            <v>842.77939799531</v>
          </cell>
          <cell r="W4">
            <v>743.758319901866</v>
          </cell>
          <cell r="X4">
            <v>644.737241808422</v>
          </cell>
          <cell r="Y4">
            <v>545.716163714978</v>
          </cell>
          <cell r="Z4">
            <v>446.695085621534</v>
          </cell>
          <cell r="AA4">
            <v>347.67400752809</v>
          </cell>
          <cell r="AB4">
            <v>248.652929434646</v>
          </cell>
          <cell r="AC4">
            <v>149.631851341203</v>
          </cell>
          <cell r="AD4">
            <v>50.6107732477589</v>
          </cell>
          <cell r="AE4">
            <v>0</v>
          </cell>
        </row>
        <row r="5">
          <cell r="R5">
            <v>35</v>
          </cell>
          <cell r="S5">
            <v>0</v>
          </cell>
          <cell r="T5">
            <v>0</v>
          </cell>
          <cell r="U5">
            <v>0</v>
          </cell>
          <cell r="V5">
            <v>0</v>
          </cell>
          <cell r="W5">
            <v>0</v>
          </cell>
          <cell r="X5">
            <v>0</v>
          </cell>
          <cell r="Y5">
            <v>0</v>
          </cell>
          <cell r="Z5">
            <v>0</v>
          </cell>
          <cell r="AA5">
            <v>0</v>
          </cell>
          <cell r="AB5">
            <v>0</v>
          </cell>
          <cell r="AC5">
            <v>0</v>
          </cell>
          <cell r="AD5">
            <v>0</v>
          </cell>
          <cell r="AE5">
            <v>0</v>
          </cell>
        </row>
      </sheetData>
      <sheetData sheetId="10">
        <row r="3">
          <cell r="R3">
            <v>0</v>
          </cell>
          <cell r="S3">
            <v>0</v>
          </cell>
          <cell r="T3">
            <v>0</v>
          </cell>
          <cell r="U3">
            <v>490.361729174312</v>
          </cell>
          <cell r="V3">
            <v>612.182030091743</v>
          </cell>
          <cell r="W3">
            <v>612.182030091743</v>
          </cell>
          <cell r="X3">
            <v>612.182030091743</v>
          </cell>
          <cell r="Y3">
            <v>612.182030091743</v>
          </cell>
          <cell r="Z3">
            <v>612.182030091743</v>
          </cell>
          <cell r="AA3">
            <v>612.182030091743</v>
          </cell>
          <cell r="AB3">
            <v>612.182030091743</v>
          </cell>
          <cell r="AC3">
            <v>612.182030091743</v>
          </cell>
          <cell r="AD3">
            <v>612.182030091743</v>
          </cell>
          <cell r="AE3">
            <v>0</v>
          </cell>
        </row>
        <row r="4">
          <cell r="R4">
            <v>0</v>
          </cell>
          <cell r="S4">
            <v>0</v>
          </cell>
          <cell r="T4">
            <v>5.26135</v>
          </cell>
          <cell r="U4">
            <v>329.726255183843</v>
          </cell>
          <cell r="V4">
            <v>354.824785854708</v>
          </cell>
          <cell r="W4">
            <v>313.135189605461</v>
          </cell>
          <cell r="X4">
            <v>271.445593356213</v>
          </cell>
          <cell r="Y4">
            <v>229.755997106965</v>
          </cell>
          <cell r="Z4">
            <v>188.066400857717</v>
          </cell>
          <cell r="AA4">
            <v>146.37680460847</v>
          </cell>
          <cell r="AB4">
            <v>104.687208359222</v>
          </cell>
          <cell r="AC4">
            <v>62.9976121099742</v>
          </cell>
          <cell r="AD4">
            <v>21.3080158607265</v>
          </cell>
          <cell r="AE4">
            <v>-3.71619535144418e-14</v>
          </cell>
        </row>
        <row r="5">
          <cell r="R5">
            <v>15</v>
          </cell>
          <cell r="S5">
            <v>0</v>
          </cell>
          <cell r="T5">
            <v>0</v>
          </cell>
          <cell r="U5">
            <v>0</v>
          </cell>
          <cell r="V5">
            <v>0</v>
          </cell>
          <cell r="W5">
            <v>0</v>
          </cell>
          <cell r="X5">
            <v>0</v>
          </cell>
          <cell r="Y5">
            <v>0</v>
          </cell>
          <cell r="Z5">
            <v>0</v>
          </cell>
          <cell r="AA5">
            <v>0</v>
          </cell>
          <cell r="AB5">
            <v>0</v>
          </cell>
          <cell r="AC5">
            <v>0</v>
          </cell>
          <cell r="AD5">
            <v>0</v>
          </cell>
          <cell r="AE5">
            <v>0</v>
          </cell>
        </row>
      </sheetData>
      <sheetData sheetId="11">
        <row r="3">
          <cell r="R3">
            <v>0</v>
          </cell>
          <cell r="S3">
            <v>1099.6354</v>
          </cell>
          <cell r="T3">
            <v>1319.56248</v>
          </cell>
          <cell r="U3">
            <v>1319.56248</v>
          </cell>
          <cell r="V3">
            <v>1319.56248</v>
          </cell>
          <cell r="W3">
            <v>1319.56248</v>
          </cell>
          <cell r="X3">
            <v>1319.56248</v>
          </cell>
          <cell r="Y3">
            <v>1319.56248</v>
          </cell>
          <cell r="Z3">
            <v>1319.56248</v>
          </cell>
          <cell r="AA3">
            <v>1319.56248</v>
          </cell>
          <cell r="AB3">
            <v>1319.56248</v>
          </cell>
          <cell r="AC3">
            <v>1319.56248</v>
          </cell>
          <cell r="AD3">
            <v>1319.56380000005</v>
          </cell>
        </row>
        <row r="4">
          <cell r="R4">
            <v>0</v>
          </cell>
          <cell r="S4">
            <v>838.07044</v>
          </cell>
          <cell r="T4">
            <v>1144.20859</v>
          </cell>
          <cell r="U4">
            <v>877.105630951334</v>
          </cell>
          <cell r="V4">
            <v>728.123665382002</v>
          </cell>
          <cell r="W4">
            <v>642.879929174003</v>
          </cell>
          <cell r="X4">
            <v>557.636192966003</v>
          </cell>
          <cell r="Y4">
            <v>472.392456758003</v>
          </cell>
          <cell r="Z4">
            <v>387.148720550003</v>
          </cell>
          <cell r="AA4">
            <v>301.904984342003</v>
          </cell>
          <cell r="AB4">
            <v>216.661248134003</v>
          </cell>
          <cell r="AC4">
            <v>131.417511926003</v>
          </cell>
          <cell r="AD4">
            <v>46.2329729939031</v>
          </cell>
        </row>
        <row r="5">
          <cell r="R5">
            <v>0</v>
          </cell>
          <cell r="S5">
            <v>0</v>
          </cell>
          <cell r="T5">
            <v>0</v>
          </cell>
          <cell r="U5">
            <v>0</v>
          </cell>
          <cell r="V5">
            <v>0</v>
          </cell>
          <cell r="W5">
            <v>0</v>
          </cell>
          <cell r="X5">
            <v>0</v>
          </cell>
          <cell r="Y5">
            <v>0</v>
          </cell>
          <cell r="Z5">
            <v>0</v>
          </cell>
          <cell r="AA5">
            <v>0</v>
          </cell>
          <cell r="AB5">
            <v>0</v>
          </cell>
          <cell r="AC5">
            <v>0</v>
          </cell>
          <cell r="AD5">
            <v>0</v>
          </cell>
        </row>
      </sheetData>
      <sheetData sheetId="12"/>
      <sheetData sheetId="13"/>
      <sheetData sheetId="14"/>
      <sheetData sheetId="15">
        <row r="3">
          <cell r="O3">
            <v>0</v>
          </cell>
          <cell r="P3">
            <v>206.12962</v>
          </cell>
          <cell r="Q3">
            <v>824.51848</v>
          </cell>
        </row>
        <row r="4">
          <cell r="O4">
            <v>30.64309</v>
          </cell>
          <cell r="P4">
            <v>173.56406</v>
          </cell>
          <cell r="Q4">
            <v>320.61316</v>
          </cell>
        </row>
        <row r="5">
          <cell r="O5">
            <v>0</v>
          </cell>
          <cell r="P5">
            <v>0</v>
          </cell>
          <cell r="Q5">
            <v>0</v>
          </cell>
          <cell r="R5">
            <v>0</v>
          </cell>
        </row>
        <row r="56">
          <cell r="G56">
            <v>47047.09</v>
          </cell>
        </row>
        <row r="57">
          <cell r="F57">
            <v>206129.62</v>
          </cell>
        </row>
        <row r="58">
          <cell r="G58">
            <v>43806.76</v>
          </cell>
        </row>
        <row r="59">
          <cell r="F59">
            <v>206129.62</v>
          </cell>
        </row>
        <row r="60">
          <cell r="G60">
            <v>38577.213937</v>
          </cell>
        </row>
        <row r="61">
          <cell r="F61">
            <v>206129.62</v>
          </cell>
        </row>
        <row r="62">
          <cell r="G62">
            <v>35712.01095</v>
          </cell>
        </row>
      </sheetData>
      <sheetData sheetId="16">
        <row r="3">
          <cell r="P3">
            <v>1392.85707</v>
          </cell>
          <cell r="Q3">
            <v>1857.14276</v>
          </cell>
          <cell r="R3">
            <v>1857.14276</v>
          </cell>
        </row>
        <row r="4">
          <cell r="P4">
            <v>577.15099</v>
          </cell>
          <cell r="Q4">
            <v>687.59926</v>
          </cell>
          <cell r="R4">
            <v>626.94667</v>
          </cell>
        </row>
        <row r="5">
          <cell r="P5">
            <v>61.51784</v>
          </cell>
          <cell r="Q5">
            <v>52.53213</v>
          </cell>
          <cell r="R5">
            <v>42.94641</v>
          </cell>
        </row>
        <row r="40">
          <cell r="F40">
            <v>464285.69</v>
          </cell>
          <cell r="G40">
            <v>86812.02</v>
          </cell>
          <cell r="H40">
            <v>6964.2862</v>
          </cell>
        </row>
        <row r="41">
          <cell r="F41">
            <v>464285.69</v>
          </cell>
          <cell r="G41">
            <v>75647.63</v>
          </cell>
          <cell r="H41">
            <v>6383.9290875</v>
          </cell>
        </row>
        <row r="42">
          <cell r="F42">
            <v>464285.69</v>
          </cell>
          <cell r="G42">
            <v>67669.6483275</v>
          </cell>
          <cell r="H42">
            <v>5803.571975</v>
          </cell>
        </row>
        <row r="43">
          <cell r="F43">
            <v>464285.69</v>
          </cell>
          <cell r="G43">
            <v>62446.434451</v>
          </cell>
          <cell r="H43">
            <v>5223.2148625</v>
          </cell>
        </row>
      </sheetData>
      <sheetData sheetId="17">
        <row r="3">
          <cell r="P3">
            <v>210.52632</v>
          </cell>
          <cell r="Q3">
            <v>210.52632</v>
          </cell>
          <cell r="R3">
            <v>210.52632</v>
          </cell>
        </row>
        <row r="4">
          <cell r="P4">
            <v>65.71025</v>
          </cell>
          <cell r="Q4">
            <v>75.386</v>
          </cell>
          <cell r="R4">
            <v>66.93824</v>
          </cell>
        </row>
        <row r="5">
          <cell r="P5">
            <v>6.77629</v>
          </cell>
          <cell r="Q5">
            <v>5.72366</v>
          </cell>
          <cell r="R5">
            <v>4.67104</v>
          </cell>
        </row>
        <row r="36">
          <cell r="F36">
            <v>52631.58</v>
          </cell>
          <cell r="G36">
            <v>8968.42</v>
          </cell>
          <cell r="H36">
            <v>723.684174999999</v>
          </cell>
        </row>
        <row r="37">
          <cell r="F37">
            <v>52631.58</v>
          </cell>
          <cell r="G37">
            <v>7801.31540649999</v>
          </cell>
          <cell r="H37">
            <v>657.894699999999</v>
          </cell>
        </row>
        <row r="38">
          <cell r="F38">
            <v>52631.58</v>
          </cell>
          <cell r="G38">
            <v>6960.52592599999</v>
          </cell>
          <cell r="H38">
            <v>592.105224999999</v>
          </cell>
        </row>
      </sheetData>
      <sheetData sheetId="18">
        <row r="3">
          <cell r="S3">
            <v>806.78828</v>
          </cell>
          <cell r="T3">
            <v>806.78828</v>
          </cell>
          <cell r="U3">
            <v>806.78828</v>
          </cell>
        </row>
        <row r="4">
          <cell r="S4">
            <v>331.24122</v>
          </cell>
          <cell r="T4">
            <v>480.8709</v>
          </cell>
          <cell r="U4">
            <v>503.02459</v>
          </cell>
        </row>
        <row r="5">
          <cell r="S5">
            <v>8.54691312375</v>
          </cell>
          <cell r="T5">
            <v>0</v>
          </cell>
          <cell r="U5">
            <v>0</v>
          </cell>
          <cell r="V5">
            <v>0</v>
          </cell>
        </row>
        <row r="98">
          <cell r="F98">
            <v>201697.07</v>
          </cell>
        </row>
        <row r="99">
          <cell r="G99">
            <v>81310.64</v>
          </cell>
        </row>
        <row r="100">
          <cell r="F100">
            <v>201697.07</v>
          </cell>
        </row>
        <row r="101">
          <cell r="G101">
            <v>74839.6951989999</v>
          </cell>
        </row>
        <row r="102">
          <cell r="F102">
            <v>201697.07</v>
          </cell>
        </row>
        <row r="103">
          <cell r="G103">
            <v>69585.48664875</v>
          </cell>
        </row>
        <row r="104">
          <cell r="F104">
            <v>201697.07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nteza"/>
      <sheetName val="Indicatori"/>
      <sheetName val="Bugetscurt"/>
      <sheetName val="outstanding"/>
      <sheetName val="BCR"/>
      <sheetName val="Ager Leasing"/>
      <sheetName val="MFP2019"/>
      <sheetName val="Credit nou"/>
      <sheetName val="Anexa 1.3"/>
      <sheetName val="Anexa 1.4"/>
      <sheetName val="Pentru rapor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K3" t="str">
            <v>Rambursari</v>
          </cell>
        </row>
        <row r="4">
          <cell r="K4" t="str">
            <v>Dobanzi</v>
          </cell>
        </row>
        <row r="5">
          <cell r="K5" t="str">
            <v>Comisioane</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7"/>
  <sheetViews>
    <sheetView view="pageBreakPreview" zoomScaleNormal="100" workbookViewId="0">
      <selection activeCell="K12" sqref="K12"/>
    </sheetView>
  </sheetViews>
  <sheetFormatPr defaultColWidth="9" defaultRowHeight="15"/>
  <cols>
    <col min="1" max="1" width="3.88571428571429" customWidth="1"/>
    <col min="2" max="2" width="12.1047619047619" style="36" customWidth="1"/>
    <col min="3" max="3" width="13.3333333333333" style="36" customWidth="1"/>
    <col min="4" max="4" width="38.1809523809524" style="36" customWidth="1"/>
    <col min="5" max="5" width="12.2380952380952" style="36" customWidth="1"/>
    <col min="6" max="6" width="11.6571428571429" style="36" customWidth="1"/>
    <col min="7" max="7" width="11.9428571428571" style="36" customWidth="1"/>
    <col min="8" max="10" width="10.3333333333333" style="36" customWidth="1"/>
    <col min="11" max="11" width="8.1047619047619" style="36" customWidth="1"/>
    <col min="12" max="12" width="8.59047619047619" style="36" customWidth="1"/>
    <col min="13" max="13" width="9.02857142857143" style="36" customWidth="1"/>
    <col min="14" max="14" width="8.59047619047619" style="36" customWidth="1"/>
    <col min="15" max="15" width="8.6" style="36" customWidth="1"/>
    <col min="16" max="16" width="8.44761904761905" style="36" customWidth="1"/>
    <col min="17" max="17" width="8.16190476190476" style="36" customWidth="1"/>
    <col min="18" max="18" width="8.74285714285714" style="36" customWidth="1"/>
    <col min="19" max="19" width="8.01904761904762" style="36" customWidth="1"/>
    <col min="20" max="20" width="8.86666666666667" customWidth="1"/>
  </cols>
  <sheetData>
    <row r="1" spans="2:4">
      <c r="B1" s="51" t="str">
        <f>'[1]Anexa 1.3curent'!A1</f>
        <v>Consiliul Local Petrosani</v>
      </c>
      <c r="C1" s="51"/>
      <c r="D1" s="51"/>
    </row>
    <row r="2" spans="2:23">
      <c r="B2" s="51" t="str">
        <f>'[1]Anexa 1.3curent'!A2</f>
        <v>Judeţul Hunedoara</v>
      </c>
      <c r="C2" s="51"/>
      <c r="D2" s="51"/>
      <c r="E2" s="51"/>
      <c r="F2" s="51"/>
      <c r="G2" s="34"/>
      <c r="W2" s="34" t="s">
        <v>0</v>
      </c>
    </row>
    <row r="3" spans="2:19">
      <c r="B3" s="52"/>
      <c r="C3" s="53"/>
      <c r="D3" s="53"/>
      <c r="E3" s="53"/>
      <c r="F3" s="53"/>
      <c r="G3" s="54"/>
      <c r="H3" s="51"/>
      <c r="I3" s="51"/>
      <c r="S3" s="54"/>
    </row>
    <row r="4" spans="2:19">
      <c r="B4" s="53"/>
      <c r="C4" s="53"/>
      <c r="D4" s="53"/>
      <c r="E4" s="53"/>
      <c r="F4" s="53"/>
      <c r="G4" s="54"/>
      <c r="H4" s="51"/>
      <c r="I4" s="51"/>
      <c r="S4" s="54"/>
    </row>
    <row r="5" spans="1:23">
      <c r="A5" s="54" t="s">
        <v>1</v>
      </c>
      <c r="B5" s="54"/>
      <c r="C5" s="54"/>
      <c r="D5" s="54"/>
      <c r="E5" s="54"/>
      <c r="F5" s="54"/>
      <c r="G5" s="54"/>
      <c r="H5" s="54"/>
      <c r="I5" s="54"/>
      <c r="J5" s="54"/>
      <c r="K5" s="54"/>
      <c r="L5" s="54"/>
      <c r="M5" s="54"/>
      <c r="N5" s="54"/>
      <c r="O5" s="54"/>
      <c r="P5" s="54"/>
      <c r="Q5" s="54"/>
      <c r="R5" s="54"/>
      <c r="S5" s="54"/>
      <c r="T5" s="54"/>
      <c r="U5" s="54"/>
      <c r="V5" s="54"/>
      <c r="W5" s="54"/>
    </row>
    <row r="6" spans="1:23">
      <c r="A6" s="54" t="s">
        <v>2</v>
      </c>
      <c r="B6" s="54"/>
      <c r="C6" s="54"/>
      <c r="D6" s="54"/>
      <c r="E6" s="54"/>
      <c r="F6" s="54"/>
      <c r="G6" s="54"/>
      <c r="H6" s="54"/>
      <c r="I6" s="54"/>
      <c r="J6" s="54"/>
      <c r="K6" s="54"/>
      <c r="L6" s="54"/>
      <c r="M6" s="54"/>
      <c r="N6" s="54"/>
      <c r="O6" s="54"/>
      <c r="P6" s="54"/>
      <c r="Q6" s="54"/>
      <c r="R6" s="54"/>
      <c r="S6" s="54"/>
      <c r="T6" s="54"/>
      <c r="U6" s="54"/>
      <c r="V6" s="54"/>
      <c r="W6" s="54"/>
    </row>
    <row r="7" spans="1:23">
      <c r="A7" s="54" t="s">
        <v>3</v>
      </c>
      <c r="B7" s="54"/>
      <c r="C7" s="54"/>
      <c r="D7" s="54"/>
      <c r="E7" s="54"/>
      <c r="F7" s="54"/>
      <c r="G7" s="54"/>
      <c r="H7" s="54"/>
      <c r="I7" s="54"/>
      <c r="J7" s="54"/>
      <c r="K7" s="54"/>
      <c r="L7" s="54"/>
      <c r="M7" s="54"/>
      <c r="N7" s="54"/>
      <c r="O7" s="54"/>
      <c r="P7" s="54"/>
      <c r="Q7" s="54"/>
      <c r="R7" s="54"/>
      <c r="S7" s="54"/>
      <c r="T7" s="54"/>
      <c r="U7" s="54"/>
      <c r="V7" s="54"/>
      <c r="W7" s="54"/>
    </row>
    <row r="8" ht="15.75" spans="2:23">
      <c r="B8" s="55"/>
      <c r="C8" s="55"/>
      <c r="D8" s="55"/>
      <c r="E8" s="56"/>
      <c r="F8" s="51"/>
      <c r="G8" s="51"/>
      <c r="H8" s="51"/>
      <c r="I8" s="51"/>
      <c r="L8"/>
      <c r="M8"/>
      <c r="N8"/>
      <c r="O8"/>
      <c r="P8"/>
      <c r="Q8"/>
      <c r="R8"/>
      <c r="S8"/>
      <c r="W8" s="54" t="s">
        <v>4</v>
      </c>
    </row>
    <row r="9" customHeight="1" spans="1:23">
      <c r="A9" s="57" t="s">
        <v>5</v>
      </c>
      <c r="B9" s="58" t="s">
        <v>6</v>
      </c>
      <c r="C9" s="58"/>
      <c r="D9" s="58"/>
      <c r="E9" s="59" t="s">
        <v>7</v>
      </c>
      <c r="F9" s="59" t="s">
        <v>8</v>
      </c>
      <c r="G9" s="60" t="s">
        <v>9</v>
      </c>
      <c r="H9" s="61" t="s">
        <v>10</v>
      </c>
      <c r="I9" s="106"/>
      <c r="J9" s="106"/>
      <c r="K9" s="106"/>
      <c r="L9" s="106"/>
      <c r="M9" s="106"/>
      <c r="N9" s="106"/>
      <c r="O9" s="106"/>
      <c r="P9" s="106"/>
      <c r="Q9" s="106"/>
      <c r="R9" s="106"/>
      <c r="S9" s="106"/>
      <c r="T9" s="106"/>
      <c r="U9" s="106"/>
      <c r="V9" s="106"/>
      <c r="W9" s="119"/>
    </row>
    <row r="10" customHeight="1" spans="1:23">
      <c r="A10" s="62"/>
      <c r="B10" s="63"/>
      <c r="C10" s="63"/>
      <c r="D10" s="63"/>
      <c r="E10" s="64"/>
      <c r="F10" s="64"/>
      <c r="G10" s="65"/>
      <c r="H10" s="66"/>
      <c r="I10" s="107"/>
      <c r="J10" s="107"/>
      <c r="K10" s="107"/>
      <c r="L10" s="107"/>
      <c r="M10" s="107"/>
      <c r="N10" s="107"/>
      <c r="O10" s="107"/>
      <c r="P10" s="107"/>
      <c r="Q10" s="107"/>
      <c r="R10" s="107"/>
      <c r="S10" s="107"/>
      <c r="T10" s="107"/>
      <c r="U10" s="107"/>
      <c r="V10" s="107"/>
      <c r="W10" s="120"/>
    </row>
    <row r="11" customHeight="1" spans="1:23">
      <c r="A11" s="62"/>
      <c r="B11" s="63"/>
      <c r="C11" s="63"/>
      <c r="D11" s="63"/>
      <c r="E11" s="64"/>
      <c r="F11" s="64"/>
      <c r="G11" s="65"/>
      <c r="H11" s="67"/>
      <c r="I11" s="108"/>
      <c r="J11" s="108"/>
      <c r="K11" s="108"/>
      <c r="L11" s="108"/>
      <c r="M11" s="108"/>
      <c r="N11" s="108"/>
      <c r="O11" s="108"/>
      <c r="P11" s="108"/>
      <c r="Q11" s="108"/>
      <c r="R11" s="108"/>
      <c r="S11" s="108"/>
      <c r="T11" s="108"/>
      <c r="U11" s="108"/>
      <c r="V11" s="108"/>
      <c r="W11" s="121"/>
    </row>
    <row r="12" spans="1:23">
      <c r="A12" s="62"/>
      <c r="B12" s="63"/>
      <c r="C12" s="63"/>
      <c r="D12" s="63"/>
      <c r="E12" s="68">
        <v>2021</v>
      </c>
      <c r="F12" s="68">
        <v>2022</v>
      </c>
      <c r="G12" s="65">
        <v>2023</v>
      </c>
      <c r="H12" s="69">
        <v>2021</v>
      </c>
      <c r="I12" s="64">
        <v>2022</v>
      </c>
      <c r="J12" s="68">
        <v>2023</v>
      </c>
      <c r="K12" s="68">
        <v>2024</v>
      </c>
      <c r="L12" s="64">
        <v>2025</v>
      </c>
      <c r="M12" s="68">
        <v>2026</v>
      </c>
      <c r="N12" s="68">
        <v>2027</v>
      </c>
      <c r="O12" s="64">
        <v>2028</v>
      </c>
      <c r="P12" s="68">
        <v>2029</v>
      </c>
      <c r="Q12" s="68">
        <v>2030</v>
      </c>
      <c r="R12" s="64">
        <v>2031</v>
      </c>
      <c r="S12" s="68">
        <v>2032</v>
      </c>
      <c r="T12" s="68">
        <v>2033</v>
      </c>
      <c r="U12" s="68">
        <v>2034</v>
      </c>
      <c r="V12" s="68">
        <v>2035</v>
      </c>
      <c r="W12" s="122">
        <v>2036</v>
      </c>
    </row>
    <row r="13" spans="1:23">
      <c r="A13" s="70">
        <v>0</v>
      </c>
      <c r="B13" s="63" t="s">
        <v>11</v>
      </c>
      <c r="C13" s="63"/>
      <c r="D13" s="63"/>
      <c r="E13" s="63">
        <v>1</v>
      </c>
      <c r="F13" s="63">
        <v>2</v>
      </c>
      <c r="G13" s="71">
        <v>3</v>
      </c>
      <c r="H13" s="72">
        <v>4</v>
      </c>
      <c r="I13" s="63">
        <v>5</v>
      </c>
      <c r="J13" s="63">
        <v>6</v>
      </c>
      <c r="K13" s="63">
        <v>7</v>
      </c>
      <c r="L13" s="63">
        <v>8</v>
      </c>
      <c r="M13" s="63">
        <v>9</v>
      </c>
      <c r="N13" s="63">
        <v>10</v>
      </c>
      <c r="O13" s="63">
        <v>11</v>
      </c>
      <c r="P13" s="63">
        <v>12</v>
      </c>
      <c r="Q13" s="63">
        <v>13</v>
      </c>
      <c r="R13" s="63">
        <v>14</v>
      </c>
      <c r="S13" s="63">
        <v>15</v>
      </c>
      <c r="T13" s="63">
        <v>16</v>
      </c>
      <c r="U13" s="63">
        <v>17</v>
      </c>
      <c r="V13" s="63">
        <v>18</v>
      </c>
      <c r="W13" s="71">
        <v>19</v>
      </c>
    </row>
    <row r="14" ht="18" spans="1:23">
      <c r="A14" s="70">
        <v>1</v>
      </c>
      <c r="B14" s="73" t="s">
        <v>12</v>
      </c>
      <c r="C14" s="73"/>
      <c r="D14" s="73"/>
      <c r="E14" s="74">
        <f>'[1]Anexa 1.3curent'!D14</f>
        <v>46722.432</v>
      </c>
      <c r="F14" s="74">
        <f>'[1]Anexa 1.3curent'!E14</f>
        <v>46805.70543</v>
      </c>
      <c r="G14" s="74">
        <f>'[1]Anexa 1.3curent'!F14</f>
        <v>49519.53123</v>
      </c>
      <c r="H14" s="75">
        <f>(E14+F14+G14)/3</f>
        <v>47682.55622</v>
      </c>
      <c r="I14" s="74">
        <f t="shared" ref="I14:W14" si="0">H14</f>
        <v>47682.55622</v>
      </c>
      <c r="J14" s="74">
        <f t="shared" si="0"/>
        <v>47682.55622</v>
      </c>
      <c r="K14" s="74">
        <f t="shared" si="0"/>
        <v>47682.55622</v>
      </c>
      <c r="L14" s="74">
        <f t="shared" si="0"/>
        <v>47682.55622</v>
      </c>
      <c r="M14" s="74">
        <f t="shared" si="0"/>
        <v>47682.55622</v>
      </c>
      <c r="N14" s="74">
        <f t="shared" si="0"/>
        <v>47682.55622</v>
      </c>
      <c r="O14" s="74">
        <f t="shared" si="0"/>
        <v>47682.55622</v>
      </c>
      <c r="P14" s="74">
        <f t="shared" si="0"/>
        <v>47682.55622</v>
      </c>
      <c r="Q14" s="74">
        <f t="shared" si="0"/>
        <v>47682.55622</v>
      </c>
      <c r="R14" s="74">
        <f t="shared" si="0"/>
        <v>47682.55622</v>
      </c>
      <c r="S14" s="74">
        <f t="shared" si="0"/>
        <v>47682.55622</v>
      </c>
      <c r="T14" s="74">
        <f t="shared" si="0"/>
        <v>47682.55622</v>
      </c>
      <c r="U14" s="74">
        <f t="shared" si="0"/>
        <v>47682.55622</v>
      </c>
      <c r="V14" s="74">
        <f t="shared" si="0"/>
        <v>47682.55622</v>
      </c>
      <c r="W14" s="123">
        <f t="shared" si="0"/>
        <v>47682.55622</v>
      </c>
    </row>
    <row r="15" ht="15.75" spans="1:23">
      <c r="A15" s="70">
        <v>2</v>
      </c>
      <c r="B15" s="76" t="s">
        <v>13</v>
      </c>
      <c r="C15" s="76"/>
      <c r="D15" s="76"/>
      <c r="E15" s="77">
        <f>30%*E14</f>
        <v>14016.7296</v>
      </c>
      <c r="F15" s="77">
        <f>30%*F14</f>
        <v>14041.711629</v>
      </c>
      <c r="G15" s="78">
        <f>30%*G14</f>
        <v>14855.859369</v>
      </c>
      <c r="H15" s="79">
        <f t="shared" ref="H15:W15" si="1">30%*H14</f>
        <v>14304.766866</v>
      </c>
      <c r="I15" s="77">
        <f t="shared" si="1"/>
        <v>14304.766866</v>
      </c>
      <c r="J15" s="77">
        <f t="shared" si="1"/>
        <v>14304.766866</v>
      </c>
      <c r="K15" s="77">
        <f t="shared" si="1"/>
        <v>14304.766866</v>
      </c>
      <c r="L15" s="77">
        <f t="shared" si="1"/>
        <v>14304.766866</v>
      </c>
      <c r="M15" s="77">
        <f t="shared" si="1"/>
        <v>14304.766866</v>
      </c>
      <c r="N15" s="77">
        <f t="shared" si="1"/>
        <v>14304.766866</v>
      </c>
      <c r="O15" s="77">
        <f t="shared" si="1"/>
        <v>14304.766866</v>
      </c>
      <c r="P15" s="77">
        <f t="shared" si="1"/>
        <v>14304.766866</v>
      </c>
      <c r="Q15" s="77">
        <f t="shared" si="1"/>
        <v>14304.766866</v>
      </c>
      <c r="R15" s="77">
        <f t="shared" si="1"/>
        <v>14304.766866</v>
      </c>
      <c r="S15" s="77">
        <f t="shared" si="1"/>
        <v>14304.766866</v>
      </c>
      <c r="T15" s="77">
        <f t="shared" si="1"/>
        <v>14304.766866</v>
      </c>
      <c r="U15" s="77">
        <f t="shared" si="1"/>
        <v>14304.766866</v>
      </c>
      <c r="V15" s="77">
        <f t="shared" si="1"/>
        <v>14304.766866</v>
      </c>
      <c r="W15" s="78">
        <f t="shared" si="1"/>
        <v>14304.766866</v>
      </c>
    </row>
    <row r="16" spans="1:23">
      <c r="A16" s="70">
        <v>3</v>
      </c>
      <c r="B16" s="80" t="s">
        <v>14</v>
      </c>
      <c r="C16" s="81"/>
      <c r="D16" s="81"/>
      <c r="E16" s="82"/>
      <c r="F16" s="82"/>
      <c r="G16" s="83"/>
      <c r="H16" s="84">
        <f>[1]Anexa1.4imprnou!G45</f>
        <v>4223.74821707075</v>
      </c>
      <c r="I16" s="109">
        <f>[1]Anexa1.4imprnou!H45</f>
        <v>1950</v>
      </c>
      <c r="J16" s="109">
        <f>[1]Anexa1.4imprnou!I45</f>
        <v>2674</v>
      </c>
      <c r="K16" s="109">
        <f>[1]Anexa1.4imprnou!J45</f>
        <v>4666.92311474232</v>
      </c>
      <c r="L16" s="109">
        <f>[1]Anexa1.4imprnou!K45</f>
        <v>5586.78979914899</v>
      </c>
      <c r="M16" s="109">
        <f>[1]Anexa1.4imprnou!L45</f>
        <v>5869.0140279383</v>
      </c>
      <c r="N16" s="109">
        <f>[1]Anexa1.4imprnou!M45</f>
        <v>13604.085012034</v>
      </c>
      <c r="O16" s="109">
        <f>[1]Anexa1.4imprnou!N45</f>
        <v>7044.11635259182</v>
      </c>
      <c r="P16" s="109">
        <f>[1]Anexa1.4imprnou!O45</f>
        <v>6714.00549409188</v>
      </c>
      <c r="Q16" s="109">
        <f>[1]Anexa1.4imprnou!P45</f>
        <v>6383.89463559194</v>
      </c>
      <c r="R16" s="109">
        <f>[1]Anexa1.4imprnou!Q45</f>
        <v>6053.783777092</v>
      </c>
      <c r="S16" s="109">
        <f>[1]Anexa1.4imprnou!R45</f>
        <v>5723.67291859206</v>
      </c>
      <c r="T16" s="109">
        <f>[1]Anexa1.4imprnou!S45</f>
        <v>5393.62257736806</v>
      </c>
      <c r="U16" s="109">
        <f>[1]Anexa1.4imprnou!T45</f>
        <v>1785.5145270419</v>
      </c>
      <c r="V16" s="109">
        <f>[1]Anexa1.4imprnou!U45</f>
        <v>1681.35807909265</v>
      </c>
      <c r="W16" s="124">
        <f>[1]Anexa1.4imprnou!V45</f>
        <v>1449.74635954618</v>
      </c>
    </row>
    <row r="17" spans="1:23">
      <c r="A17" s="70">
        <v>4</v>
      </c>
      <c r="B17" s="85" t="s">
        <v>15</v>
      </c>
      <c r="C17" s="85"/>
      <c r="D17" s="85"/>
      <c r="E17" s="82"/>
      <c r="F17" s="82"/>
      <c r="G17" s="83"/>
      <c r="H17" s="84">
        <f>[1]Anexa1.4imprnou!G46</f>
        <v>3440.21464</v>
      </c>
      <c r="I17" s="109">
        <f>[1]Anexa1.4imprnou!H46</f>
        <v>1099.6354</v>
      </c>
      <c r="J17" s="109">
        <f>[1]Anexa1.4imprnou!I46</f>
        <v>1319.56248</v>
      </c>
      <c r="K17" s="109">
        <f>[1]Anexa1.4imprnou!J46</f>
        <v>2723.43811752977</v>
      </c>
      <c r="L17" s="109">
        <f>[1]Anexa1.4imprnou!K46</f>
        <v>3385.79852027447</v>
      </c>
      <c r="M17" s="109">
        <f>[1]Anexa1.4imprnou!L46</f>
        <v>3385.79852027447</v>
      </c>
      <c r="N17" s="109">
        <f>[1]Anexa1.4imprnou!M46</f>
        <v>10891.1016193717</v>
      </c>
      <c r="O17" s="109">
        <f>[1]Anexa1.4imprnou!N46</f>
        <v>4915.26177944114</v>
      </c>
      <c r="P17" s="109">
        <f>[1]Anexa1.4imprnou!O46</f>
        <v>4915.26177944114</v>
      </c>
      <c r="Q17" s="109">
        <f>[1]Anexa1.4imprnou!P46</f>
        <v>4915.26177944114</v>
      </c>
      <c r="R17" s="109">
        <f>[1]Anexa1.4imprnou!Q46</f>
        <v>4915.26177944114</v>
      </c>
      <c r="S17" s="109">
        <f>[1]Anexa1.4imprnou!R46</f>
        <v>4915.26177944114</v>
      </c>
      <c r="T17" s="109">
        <f>[1]Anexa1.4imprnou!S46</f>
        <v>4915.26309944118</v>
      </c>
      <c r="U17" s="109">
        <f>[1]Anexa1.4imprnou!T46</f>
        <v>1529.46325916666</v>
      </c>
      <c r="V17" s="109">
        <f>[1]Anexa1.4imprnou!U46</f>
        <v>1529.46325916666</v>
      </c>
      <c r="W17" s="124">
        <f>[1]Anexa1.4imprnou!V46</f>
        <v>1402.00798756944</v>
      </c>
    </row>
    <row r="18" spans="1:23">
      <c r="A18" s="70">
        <v>5</v>
      </c>
      <c r="B18" s="85" t="s">
        <v>16</v>
      </c>
      <c r="C18" s="85"/>
      <c r="D18" s="85"/>
      <c r="E18" s="86"/>
      <c r="F18" s="86"/>
      <c r="G18" s="83"/>
      <c r="H18" s="84">
        <f>[1]Anexa1.4imprnou!G47</f>
        <v>708.18489084575</v>
      </c>
      <c r="I18" s="109">
        <f>[1]Anexa1.4imprnou!H47</f>
        <v>850</v>
      </c>
      <c r="J18" s="109">
        <f>[1]Anexa1.4imprnou!I47</f>
        <v>1355.33607</v>
      </c>
      <c r="K18" s="109">
        <f>[1]Anexa1.4imprnou!J47</f>
        <v>1890.6274543188</v>
      </c>
      <c r="L18" s="109">
        <f>[1]Anexa1.4imprnou!K47</f>
        <v>2200.99127887452</v>
      </c>
      <c r="M18" s="109">
        <f>[1]Anexa1.4imprnou!L47</f>
        <v>2483.21550766383</v>
      </c>
      <c r="N18" s="109">
        <f>[1]Anexa1.4imprnou!M47</f>
        <v>2712.98339266233</v>
      </c>
      <c r="O18" s="109">
        <f>[1]Anexa1.4imprnou!N47</f>
        <v>2128.85457315069</v>
      </c>
      <c r="P18" s="109">
        <f>[1]Anexa1.4imprnou!O47</f>
        <v>1798.74371465074</v>
      </c>
      <c r="Q18" s="109">
        <f>[1]Anexa1.4imprnou!P47</f>
        <v>1468.6328561508</v>
      </c>
      <c r="R18" s="109">
        <f>[1]Anexa1.4imprnou!Q47</f>
        <v>1138.52199765086</v>
      </c>
      <c r="S18" s="109">
        <f>[1]Anexa1.4imprnou!R47</f>
        <v>808.41113915092</v>
      </c>
      <c r="T18" s="109">
        <f>[1]Anexa1.4imprnou!S47</f>
        <v>478.359477926879</v>
      </c>
      <c r="U18" s="109">
        <f>[1]Anexa1.4imprnou!T47</f>
        <v>256.05126787524</v>
      </c>
      <c r="V18" s="109">
        <f>[1]Anexa1.4imprnou!U47</f>
        <v>151.89481992599</v>
      </c>
      <c r="W18" s="124">
        <f>[1]Anexa1.4imprnou!V47</f>
        <v>47.7383719767405</v>
      </c>
    </row>
    <row r="19" spans="1:23">
      <c r="A19" s="70">
        <v>6</v>
      </c>
      <c r="B19" s="85" t="s">
        <v>17</v>
      </c>
      <c r="C19" s="85"/>
      <c r="D19" s="85"/>
      <c r="E19" s="86"/>
      <c r="F19" s="86"/>
      <c r="G19" s="83"/>
      <c r="H19" s="84">
        <f>[1]Anexa1.4imprnou!G48</f>
        <v>75.348686225</v>
      </c>
      <c r="I19" s="109">
        <f>[1]Anexa1.4imprnou!H48</f>
        <v>0</v>
      </c>
      <c r="J19" s="109">
        <f>[1]Anexa1.4imprnou!I48</f>
        <v>0</v>
      </c>
      <c r="K19" s="109">
        <f>[1]Anexa1.4imprnou!J48</f>
        <v>52.85754289375</v>
      </c>
      <c r="L19" s="109">
        <f>[1]Anexa1.4imprnou!K48</f>
        <v>0</v>
      </c>
      <c r="M19" s="109">
        <f>[1]Anexa1.4imprnou!L48</f>
        <v>0</v>
      </c>
      <c r="N19" s="109">
        <f>[1]Anexa1.4imprnou!M48</f>
        <v>0</v>
      </c>
      <c r="O19" s="109">
        <f>[1]Anexa1.4imprnou!N48</f>
        <v>0</v>
      </c>
      <c r="P19" s="109">
        <f>[1]Anexa1.4imprnou!O48</f>
        <v>0</v>
      </c>
      <c r="Q19" s="109">
        <f>[1]Anexa1.4imprnou!P48</f>
        <v>0</v>
      </c>
      <c r="R19" s="109">
        <f>[1]Anexa1.4imprnou!Q48</f>
        <v>0</v>
      </c>
      <c r="S19" s="109">
        <f>[1]Anexa1.4imprnou!R48</f>
        <v>0</v>
      </c>
      <c r="T19" s="109">
        <f>[1]Anexa1.4imprnou!S48</f>
        <v>0</v>
      </c>
      <c r="U19" s="109">
        <f>[1]Anexa1.4imprnou!T48</f>
        <v>0</v>
      </c>
      <c r="V19" s="109">
        <f>[1]Anexa1.4imprnou!U48</f>
        <v>0</v>
      </c>
      <c r="W19" s="124">
        <f>[1]Anexa1.4imprnou!V48</f>
        <v>0</v>
      </c>
    </row>
    <row r="20" ht="15.75" spans="1:23">
      <c r="A20" s="87">
        <v>7</v>
      </c>
      <c r="B20" s="88" t="s">
        <v>18</v>
      </c>
      <c r="C20" s="88"/>
      <c r="D20" s="88"/>
      <c r="E20" s="89"/>
      <c r="F20" s="89"/>
      <c r="G20" s="90"/>
      <c r="H20" s="91">
        <f t="shared" ref="H20:W20" si="2">H16/H14</f>
        <v>0.0885805743631491</v>
      </c>
      <c r="I20" s="89">
        <f t="shared" si="2"/>
        <v>0.0408954585195265</v>
      </c>
      <c r="J20" s="89">
        <f t="shared" si="2"/>
        <v>0.0560792082467763</v>
      </c>
      <c r="K20" s="89">
        <f t="shared" si="2"/>
        <v>0.097874851616802</v>
      </c>
      <c r="L20" s="89">
        <f t="shared" si="2"/>
        <v>0.11716632332739</v>
      </c>
      <c r="M20" s="89">
        <f t="shared" si="2"/>
        <v>0.123085138323113</v>
      </c>
      <c r="N20" s="89">
        <f t="shared" si="2"/>
        <v>0.285305279131153</v>
      </c>
      <c r="O20" s="89">
        <f t="shared" si="2"/>
        <v>0.147729419540583</v>
      </c>
      <c r="P20" s="89">
        <f t="shared" si="2"/>
        <v>0.140806324709491</v>
      </c>
      <c r="Q20" s="89">
        <f t="shared" si="2"/>
        <v>0.133883229878399</v>
      </c>
      <c r="R20" s="89">
        <f t="shared" si="2"/>
        <v>0.126960135047307</v>
      </c>
      <c r="S20" s="89">
        <f t="shared" si="2"/>
        <v>0.120037040216215</v>
      </c>
      <c r="T20" s="89">
        <f t="shared" si="2"/>
        <v>0.11311521455525</v>
      </c>
      <c r="U20" s="89">
        <f t="shared" si="2"/>
        <v>0.037445864244438</v>
      </c>
      <c r="V20" s="89">
        <f t="shared" si="2"/>
        <v>0.03526149209231</v>
      </c>
      <c r="W20" s="90">
        <f t="shared" si="2"/>
        <v>0.0304041241593105</v>
      </c>
    </row>
    <row r="21" spans="2:19">
      <c r="B21" s="92"/>
      <c r="C21" s="92"/>
      <c r="D21" s="92"/>
      <c r="E21" s="51"/>
      <c r="F21" s="51"/>
      <c r="G21" s="51"/>
      <c r="H21" s="51"/>
      <c r="I21" s="51"/>
      <c r="K21" s="110"/>
      <c r="R21"/>
      <c r="S21"/>
    </row>
    <row r="22" spans="2:19">
      <c r="B22" s="93" t="s">
        <v>19</v>
      </c>
      <c r="C22" s="93"/>
      <c r="D22" s="93"/>
      <c r="E22" s="93"/>
      <c r="F22" s="93"/>
      <c r="G22" s="93"/>
      <c r="H22"/>
      <c r="I22"/>
      <c r="J22"/>
      <c r="K22"/>
      <c r="L22"/>
      <c r="M22"/>
      <c r="N22"/>
      <c r="O22"/>
      <c r="P22"/>
      <c r="Q22"/>
      <c r="R22"/>
      <c r="S22"/>
    </row>
    <row r="23" spans="2:19">
      <c r="B23" s="94" t="s">
        <v>20</v>
      </c>
      <c r="C23" s="94"/>
      <c r="D23" s="94"/>
      <c r="E23" s="94"/>
      <c r="F23" s="94"/>
      <c r="G23" s="94"/>
      <c r="H23"/>
      <c r="I23"/>
      <c r="J23"/>
      <c r="K23" s="111"/>
      <c r="L23"/>
      <c r="M23"/>
      <c r="N23"/>
      <c r="O23"/>
      <c r="P23"/>
      <c r="Q23"/>
      <c r="R23"/>
      <c r="S23"/>
    </row>
    <row r="24" spans="2:19">
      <c r="B24" s="94" t="s">
        <v>21</v>
      </c>
      <c r="C24" s="94"/>
      <c r="D24" s="94"/>
      <c r="E24" s="94"/>
      <c r="F24" s="94"/>
      <c r="G24" s="94"/>
      <c r="H24"/>
      <c r="I24"/>
      <c r="J24"/>
      <c r="K24" s="111"/>
      <c r="L24"/>
      <c r="M24"/>
      <c r="N24"/>
      <c r="O24"/>
      <c r="P24"/>
      <c r="Q24"/>
      <c r="R24"/>
      <c r="S24"/>
    </row>
    <row r="25" spans="2:19">
      <c r="B25" s="94" t="s">
        <v>22</v>
      </c>
      <c r="C25" s="94"/>
      <c r="D25" s="94"/>
      <c r="E25" s="94"/>
      <c r="F25" s="94"/>
      <c r="G25" s="94"/>
      <c r="H25"/>
      <c r="I25"/>
      <c r="J25"/>
      <c r="K25" s="111"/>
      <c r="L25"/>
      <c r="M25"/>
      <c r="N25"/>
      <c r="O25"/>
      <c r="P25"/>
      <c r="Q25"/>
      <c r="R25"/>
      <c r="S25"/>
    </row>
    <row r="26" hidden="1" spans="2:19">
      <c r="B26" s="95"/>
      <c r="C26" s="95"/>
      <c r="D26" s="95"/>
      <c r="E26" s="95"/>
      <c r="F26" s="95"/>
      <c r="G26" s="95"/>
      <c r="H26" s="51"/>
      <c r="I26" s="51"/>
      <c r="K26" s="110"/>
      <c r="R26"/>
      <c r="S26"/>
    </row>
    <row r="27" hidden="1" spans="2:19">
      <c r="B27" s="95"/>
      <c r="C27" s="95"/>
      <c r="D27" s="95"/>
      <c r="E27" s="95"/>
      <c r="F27" s="95"/>
      <c r="G27" s="95"/>
      <c r="H27" s="96"/>
      <c r="I27" s="96"/>
      <c r="J27" s="96"/>
      <c r="K27" s="96"/>
      <c r="L27" s="96"/>
      <c r="M27" s="96"/>
      <c r="N27" s="96"/>
      <c r="O27" s="96"/>
      <c r="P27" s="96"/>
      <c r="Q27" s="96"/>
      <c r="R27" s="96"/>
      <c r="S27" s="96"/>
    </row>
    <row r="28" hidden="1" spans="2:19">
      <c r="B28" s="97"/>
      <c r="C28" s="98"/>
      <c r="D28" s="98"/>
      <c r="E28" s="99"/>
      <c r="F28" s="99"/>
      <c r="G28" s="99"/>
      <c r="M28" s="112"/>
      <c r="R28"/>
      <c r="S28"/>
    </row>
    <row r="29" ht="30" customHeight="1" spans="2:19">
      <c r="B29" s="94" t="s">
        <v>23</v>
      </c>
      <c r="C29" s="94"/>
      <c r="D29" s="94"/>
      <c r="E29" s="94"/>
      <c r="F29" s="94"/>
      <c r="G29" s="94"/>
      <c r="R29"/>
      <c r="S29"/>
    </row>
    <row r="30" spans="2:19">
      <c r="B30" s="100"/>
      <c r="C30" s="100"/>
      <c r="D30" s="100"/>
      <c r="E30" s="100"/>
      <c r="F30" s="100"/>
      <c r="G30" s="100"/>
      <c r="R30"/>
      <c r="S30"/>
    </row>
    <row r="31" spans="15:19">
      <c r="O31" s="113"/>
      <c r="P31" s="113"/>
      <c r="R31"/>
      <c r="S31"/>
    </row>
    <row r="32" spans="3:19">
      <c r="C32" s="34"/>
      <c r="E32" s="35"/>
      <c r="F32" s="35"/>
      <c r="H32" s="101"/>
      <c r="I32" s="114"/>
      <c r="J32" s="114"/>
      <c r="K32" s="114"/>
      <c r="L32" s="115"/>
      <c r="O32" s="112"/>
      <c r="R32" s="48"/>
      <c r="S32"/>
    </row>
    <row r="33" spans="2:19">
      <c r="B33"/>
      <c r="C33" s="34"/>
      <c r="G33" s="49"/>
      <c r="H33" s="102"/>
      <c r="I33" s="116"/>
      <c r="J33" s="116"/>
      <c r="K33" s="116"/>
      <c r="O33"/>
      <c r="R33" s="34"/>
      <c r="S33"/>
    </row>
    <row r="34" spans="2:19">
      <c r="B34"/>
      <c r="C34" s="37"/>
      <c r="F34"/>
      <c r="G34" s="50"/>
      <c r="H34" s="102"/>
      <c r="I34" s="116"/>
      <c r="J34" s="116"/>
      <c r="K34" s="116"/>
      <c r="O34"/>
      <c r="R34"/>
      <c r="S34"/>
    </row>
    <row r="35" spans="2:19">
      <c r="B35"/>
      <c r="C35"/>
      <c r="D35"/>
      <c r="E35"/>
      <c r="F35"/>
      <c r="G35" s="103"/>
      <c r="H35" s="102" t="s">
        <v>24</v>
      </c>
      <c r="I35" s="116">
        <v>7562.16</v>
      </c>
      <c r="J35" s="116">
        <v>16351.049</v>
      </c>
      <c r="K35" s="116">
        <v>4618.026</v>
      </c>
      <c r="O35"/>
      <c r="R35"/>
      <c r="S35"/>
    </row>
    <row r="36" spans="5:11">
      <c r="E36"/>
      <c r="F36"/>
      <c r="G36" s="103"/>
      <c r="H36" s="102" t="s">
        <v>25</v>
      </c>
      <c r="I36" s="116">
        <v>0</v>
      </c>
      <c r="J36" s="116">
        <v>0</v>
      </c>
      <c r="K36" s="116">
        <v>0</v>
      </c>
    </row>
    <row r="37" spans="5:11">
      <c r="E37"/>
      <c r="F37"/>
      <c r="G37" s="103"/>
      <c r="H37" s="102" t="s">
        <v>26</v>
      </c>
      <c r="I37" s="116">
        <v>387.298</v>
      </c>
      <c r="J37" s="116">
        <v>198.132</v>
      </c>
      <c r="K37" s="116">
        <v>247.765</v>
      </c>
    </row>
    <row r="38" spans="5:11">
      <c r="E38"/>
      <c r="F38"/>
      <c r="G38" s="103"/>
      <c r="H38" s="102" t="s">
        <v>27</v>
      </c>
      <c r="I38" s="116">
        <f>1.687+214.305</f>
        <v>215.992</v>
      </c>
      <c r="J38" s="116">
        <v>2579.748</v>
      </c>
      <c r="K38" s="116">
        <v>2647.564</v>
      </c>
    </row>
    <row r="39" spans="5:11">
      <c r="E39"/>
      <c r="F39"/>
      <c r="G39" s="103"/>
      <c r="H39" s="102" t="s">
        <v>28</v>
      </c>
      <c r="I39" s="116">
        <f>I33-I34-I35-I36-I37-I38</f>
        <v>-8165.45</v>
      </c>
      <c r="J39" s="116">
        <f>J33-J34-J35-J36-J37-J38</f>
        <v>-19128.929</v>
      </c>
      <c r="K39" s="116">
        <f>K33-K34-K35-K37-K38</f>
        <v>-7513.355</v>
      </c>
    </row>
    <row r="40" spans="5:11">
      <c r="E40"/>
      <c r="F40"/>
      <c r="G40" s="103"/>
      <c r="H40" s="101"/>
      <c r="I40" s="116"/>
      <c r="J40" s="116"/>
      <c r="K40" s="116"/>
    </row>
    <row r="41" spans="5:11">
      <c r="E41"/>
      <c r="F41"/>
      <c r="G41" s="103"/>
      <c r="H41" s="101"/>
      <c r="I41" s="116"/>
      <c r="J41" s="116"/>
      <c r="K41" s="116"/>
    </row>
    <row r="42" spans="5:11">
      <c r="E42"/>
      <c r="F42"/>
      <c r="G42" s="103"/>
      <c r="H42" s="101"/>
      <c r="I42" s="116"/>
      <c r="J42" s="116">
        <f>J40-J39</f>
        <v>19128.929</v>
      </c>
      <c r="K42" s="116">
        <f>K40-K39</f>
        <v>7513.355</v>
      </c>
    </row>
    <row r="43" spans="5:17">
      <c r="E43"/>
      <c r="F43"/>
      <c r="G43" s="103"/>
      <c r="H43" s="101"/>
      <c r="I43" s="114">
        <v>2014</v>
      </c>
      <c r="J43" s="114">
        <v>2015</v>
      </c>
      <c r="K43" s="114">
        <v>2016</v>
      </c>
      <c r="N43" s="117"/>
      <c r="O43" s="103"/>
      <c r="P43"/>
      <c r="Q43"/>
    </row>
    <row r="44" spans="8:17">
      <c r="H44" s="104" t="s">
        <v>29</v>
      </c>
      <c r="I44" s="101">
        <v>89389.609</v>
      </c>
      <c r="J44" s="101">
        <f>74779584/1000</f>
        <v>74779.584</v>
      </c>
      <c r="K44" s="101">
        <f>84713306/1000</f>
        <v>84713.306</v>
      </c>
      <c r="N44" s="117"/>
      <c r="O44" s="103"/>
      <c r="P44"/>
      <c r="Q44"/>
    </row>
    <row r="45" spans="8:17">
      <c r="H45" s="104" t="s">
        <v>30</v>
      </c>
      <c r="I45" s="101">
        <v>38127.338</v>
      </c>
      <c r="J45" s="101">
        <f>24002547/1000</f>
        <v>24002.547</v>
      </c>
      <c r="K45" s="101">
        <f>34889372/1000</f>
        <v>34889.372</v>
      </c>
      <c r="N45" s="118"/>
      <c r="O45"/>
      <c r="P45"/>
      <c r="Q45"/>
    </row>
    <row r="46" spans="8:17">
      <c r="H46" s="104" t="s">
        <v>31</v>
      </c>
      <c r="I46" s="101">
        <v>2932.711</v>
      </c>
      <c r="J46" s="101">
        <f>2381312/1000</f>
        <v>2381.312</v>
      </c>
      <c r="K46" s="101">
        <f>2313734/1000</f>
        <v>2313.734</v>
      </c>
      <c r="N46" s="118"/>
      <c r="O46"/>
      <c r="P46"/>
      <c r="Q46"/>
    </row>
    <row r="47" spans="8:17">
      <c r="H47" s="104" t="s">
        <v>32</v>
      </c>
      <c r="I47" s="101">
        <v>0</v>
      </c>
      <c r="J47" s="101">
        <v>0</v>
      </c>
      <c r="K47" s="101">
        <v>0</v>
      </c>
      <c r="N47" s="118"/>
      <c r="O47"/>
      <c r="P47"/>
      <c r="Q47"/>
    </row>
    <row r="48" spans="8:17">
      <c r="H48" s="104" t="s">
        <v>33</v>
      </c>
      <c r="I48" s="101">
        <v>0</v>
      </c>
      <c r="J48" s="101"/>
      <c r="K48" s="101">
        <v>0</v>
      </c>
      <c r="N48" s="118"/>
      <c r="O48"/>
      <c r="P48"/>
      <c r="Q48"/>
    </row>
    <row r="49" spans="8:17">
      <c r="H49" s="104" t="s">
        <v>34</v>
      </c>
      <c r="I49" s="101">
        <f>I37</f>
        <v>387.298</v>
      </c>
      <c r="J49" s="101">
        <f>J37</f>
        <v>198.132</v>
      </c>
      <c r="K49" s="101">
        <f>K37</f>
        <v>247.765</v>
      </c>
      <c r="N49"/>
      <c r="O49"/>
      <c r="P49"/>
      <c r="Q49"/>
    </row>
    <row r="50" spans="8:17">
      <c r="H50" s="104" t="s">
        <v>28</v>
      </c>
      <c r="I50" s="101">
        <f>I44-I45+I46-I47+I48-I49</f>
        <v>53807.684</v>
      </c>
      <c r="J50" s="101">
        <f>J44-J45+J46-J47+J48-J49</f>
        <v>52960.217</v>
      </c>
      <c r="K50" s="101">
        <f>K44-K45+K46-K47+K48-K49</f>
        <v>51889.903</v>
      </c>
      <c r="N50"/>
      <c r="O50"/>
      <c r="P50"/>
      <c r="Q50"/>
    </row>
    <row r="51" spans="8:16">
      <c r="H51" s="105"/>
      <c r="I51" s="105"/>
      <c r="J51" s="105"/>
      <c r="K51" s="105"/>
      <c r="L51"/>
      <c r="M51"/>
      <c r="N51"/>
      <c r="O51"/>
      <c r="P51"/>
    </row>
    <row r="52" spans="8:16">
      <c r="H52"/>
      <c r="I52"/>
      <c r="J52"/>
      <c r="K52"/>
      <c r="L52"/>
      <c r="M52"/>
      <c r="N52"/>
      <c r="O52"/>
      <c r="P52"/>
    </row>
    <row r="53" spans="8:16">
      <c r="H53"/>
      <c r="I53"/>
      <c r="J53"/>
      <c r="K53"/>
      <c r="L53"/>
      <c r="M53"/>
      <c r="N53"/>
      <c r="O53"/>
      <c r="P53"/>
    </row>
    <row r="54" spans="8:16">
      <c r="H54"/>
      <c r="I54"/>
      <c r="J54"/>
      <c r="K54"/>
      <c r="L54"/>
      <c r="M54"/>
      <c r="N54"/>
      <c r="O54"/>
      <c r="P54"/>
    </row>
    <row r="55" spans="8:16">
      <c r="H55"/>
      <c r="I55"/>
      <c r="J55"/>
      <c r="K55"/>
      <c r="L55"/>
      <c r="M55"/>
      <c r="N55"/>
      <c r="O55"/>
      <c r="P55"/>
    </row>
    <row r="56" spans="8:16">
      <c r="H56"/>
      <c r="I56"/>
      <c r="J56"/>
      <c r="K56"/>
      <c r="L56"/>
      <c r="M56"/>
      <c r="N56"/>
      <c r="O56"/>
      <c r="P56"/>
    </row>
    <row r="57" spans="8:16">
      <c r="H57"/>
      <c r="I57"/>
      <c r="J57"/>
      <c r="K57"/>
      <c r="L57"/>
      <c r="M57"/>
      <c r="N57"/>
      <c r="O57"/>
      <c r="P57"/>
    </row>
    <row r="58" spans="8:16">
      <c r="H58"/>
      <c r="I58"/>
      <c r="J58"/>
      <c r="K58"/>
      <c r="L58"/>
      <c r="M58"/>
      <c r="N58"/>
      <c r="O58"/>
      <c r="P58"/>
    </row>
    <row r="59" spans="8:16">
      <c r="H59"/>
      <c r="I59"/>
      <c r="J59"/>
      <c r="K59"/>
      <c r="L59"/>
      <c r="M59"/>
      <c r="N59"/>
      <c r="O59"/>
      <c r="P59"/>
    </row>
    <row r="60" spans="8:16">
      <c r="H60"/>
      <c r="I60"/>
      <c r="J60"/>
      <c r="K60"/>
      <c r="L60"/>
      <c r="M60"/>
      <c r="N60"/>
      <c r="O60"/>
      <c r="P60"/>
    </row>
    <row r="61" spans="8:16">
      <c r="H61"/>
      <c r="I61"/>
      <c r="J61"/>
      <c r="K61"/>
      <c r="L61"/>
      <c r="M61"/>
      <c r="N61"/>
      <c r="O61"/>
      <c r="P61"/>
    </row>
    <row r="62" spans="8:16">
      <c r="H62"/>
      <c r="I62"/>
      <c r="J62"/>
      <c r="K62"/>
      <c r="L62"/>
      <c r="M62"/>
      <c r="N62"/>
      <c r="O62"/>
      <c r="P62"/>
    </row>
    <row r="63" spans="8:16">
      <c r="H63"/>
      <c r="I63"/>
      <c r="J63"/>
      <c r="K63"/>
      <c r="L63"/>
      <c r="M63"/>
      <c r="N63"/>
      <c r="O63"/>
      <c r="P63"/>
    </row>
    <row r="64" spans="8:16">
      <c r="H64"/>
      <c r="I64"/>
      <c r="J64"/>
      <c r="K64"/>
      <c r="L64"/>
      <c r="M64"/>
      <c r="N64"/>
      <c r="O64"/>
      <c r="P64"/>
    </row>
    <row r="65" spans="8:16">
      <c r="H65"/>
      <c r="I65"/>
      <c r="J65"/>
      <c r="K65"/>
      <c r="L65"/>
      <c r="M65"/>
      <c r="N65"/>
      <c r="O65"/>
      <c r="P65"/>
    </row>
    <row r="66" spans="8:16">
      <c r="H66"/>
      <c r="I66"/>
      <c r="J66"/>
      <c r="K66"/>
      <c r="L66"/>
      <c r="M66"/>
      <c r="N66"/>
      <c r="O66"/>
      <c r="P66"/>
    </row>
    <row r="67" spans="8:16">
      <c r="H67"/>
      <c r="I67"/>
      <c r="J67"/>
      <c r="K67"/>
      <c r="L67"/>
      <c r="M67"/>
      <c r="N67"/>
      <c r="O67"/>
      <c r="P67"/>
    </row>
  </sheetData>
  <mergeCells count="24">
    <mergeCell ref="A5:W5"/>
    <mergeCell ref="A6:W6"/>
    <mergeCell ref="A7:W7"/>
    <mergeCell ref="B13:D13"/>
    <mergeCell ref="B14:D14"/>
    <mergeCell ref="B15:D15"/>
    <mergeCell ref="B17:D17"/>
    <mergeCell ref="B18:D18"/>
    <mergeCell ref="B19:D19"/>
    <mergeCell ref="B20:D20"/>
    <mergeCell ref="B22:G22"/>
    <mergeCell ref="B23:G23"/>
    <mergeCell ref="B24:G24"/>
    <mergeCell ref="B25:G25"/>
    <mergeCell ref="B26:G26"/>
    <mergeCell ref="B27:G27"/>
    <mergeCell ref="B29:G29"/>
    <mergeCell ref="B30:G30"/>
    <mergeCell ref="A9:A12"/>
    <mergeCell ref="E9:E11"/>
    <mergeCell ref="F9:F11"/>
    <mergeCell ref="G9:G11"/>
    <mergeCell ref="B9:D12"/>
    <mergeCell ref="H9:W11"/>
  </mergeCells>
  <pageMargins left="0.119444444444444" right="0.0798611111111111" top="0.75" bottom="0.75" header="0.3" footer="0.3"/>
  <pageSetup paperSize="9" scale="90" orientation="landscape" horizontalDpi="600"/>
  <headerFooter/>
  <rowBreaks count="1" manualBreakCount="1">
    <brk id="3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3"/>
  <sheetViews>
    <sheetView tabSelected="1" topLeftCell="A39" workbookViewId="0">
      <selection activeCell="B51" sqref="B51:T53"/>
    </sheetView>
  </sheetViews>
  <sheetFormatPr defaultColWidth="9" defaultRowHeight="15"/>
  <cols>
    <col min="1" max="1" width="6.88571428571429" customWidth="1"/>
    <col min="2" max="2" width="28.3333333333333" style="2" customWidth="1"/>
    <col min="3" max="6" width="8.88571428571429" style="2" hidden="1" customWidth="1"/>
    <col min="7" max="8" width="10.1047619047619" style="2" hidden="1" customWidth="1"/>
    <col min="9" max="9" width="8.88571428571429" style="2" hidden="1" customWidth="1"/>
    <col min="10" max="10" width="8.88571428571429" style="2" customWidth="1"/>
    <col min="11" max="14" width="8.88571428571429" style="2"/>
    <col min="16" max="16" width="10.4380952380952" style="2" customWidth="1"/>
    <col min="17" max="20" width="8.88571428571429" style="2"/>
    <col min="21" max="21" width="10.1047619047619" style="2" customWidth="1"/>
  </cols>
  <sheetData>
    <row r="1" spans="2:22">
      <c r="B1" s="2" t="str">
        <f>[1]Anexa1.3imprnou!B1</f>
        <v>Consiliul Local Petrosani</v>
      </c>
      <c r="V1" s="2" t="s">
        <v>35</v>
      </c>
    </row>
    <row r="2" spans="2:2">
      <c r="B2" s="2" t="str">
        <f>[1]Anexa1.3imprnou!B2</f>
        <v>Judeţul Hunedoara</v>
      </c>
    </row>
    <row r="3" spans="1:22">
      <c r="A3" s="3" t="s">
        <v>36</v>
      </c>
      <c r="B3" s="3"/>
      <c r="C3" s="3"/>
      <c r="D3" s="3"/>
      <c r="E3" s="3"/>
      <c r="F3" s="3"/>
      <c r="G3" s="3"/>
      <c r="H3" s="3"/>
      <c r="I3" s="3"/>
      <c r="J3" s="3"/>
      <c r="K3" s="3"/>
      <c r="L3" s="3"/>
      <c r="M3" s="3"/>
      <c r="N3" s="3"/>
      <c r="O3" s="3"/>
      <c r="P3" s="3"/>
      <c r="Q3" s="3"/>
      <c r="R3" s="3"/>
      <c r="S3" s="3"/>
      <c r="T3" s="3"/>
      <c r="U3" s="3"/>
      <c r="V3" s="3"/>
    </row>
    <row r="4" spans="1:22">
      <c r="A4" s="3" t="s">
        <v>37</v>
      </c>
      <c r="B4" s="3"/>
      <c r="C4" s="3"/>
      <c r="D4" s="3"/>
      <c r="E4" s="3"/>
      <c r="F4" s="3"/>
      <c r="G4" s="3"/>
      <c r="H4" s="3"/>
      <c r="I4" s="3"/>
      <c r="J4" s="3"/>
      <c r="K4" s="3"/>
      <c r="L4" s="3"/>
      <c r="M4" s="3"/>
      <c r="N4" s="3"/>
      <c r="O4" s="3"/>
      <c r="P4" s="3"/>
      <c r="Q4" s="3"/>
      <c r="R4" s="3"/>
      <c r="S4" s="3"/>
      <c r="T4" s="3"/>
      <c r="U4" s="3"/>
      <c r="V4" s="3"/>
    </row>
    <row r="5" spans="1:22">
      <c r="A5" s="4" t="s">
        <v>38</v>
      </c>
      <c r="B5" s="4"/>
      <c r="C5" s="4"/>
      <c r="D5" s="4"/>
      <c r="E5" s="4"/>
      <c r="F5" s="4"/>
      <c r="G5" s="4"/>
      <c r="H5" s="4"/>
      <c r="I5" s="4"/>
      <c r="J5" s="4"/>
      <c r="K5" s="4"/>
      <c r="L5" s="4"/>
      <c r="M5" s="4"/>
      <c r="N5" s="4"/>
      <c r="O5" s="4"/>
      <c r="P5" s="4"/>
      <c r="Q5" s="4"/>
      <c r="R5" s="4"/>
      <c r="S5" s="4"/>
      <c r="T5" s="4"/>
      <c r="U5" s="4"/>
      <c r="V5" s="4"/>
    </row>
    <row r="6" ht="15.75" spans="22:22">
      <c r="V6" s="37" t="s">
        <v>39</v>
      </c>
    </row>
    <row r="7" s="1" customFormat="1" ht="25.5" spans="1:22">
      <c r="A7" s="5" t="s">
        <v>5</v>
      </c>
      <c r="B7" s="6" t="s">
        <v>40</v>
      </c>
      <c r="C7" s="7">
        <v>2017</v>
      </c>
      <c r="D7" s="7">
        <f t="shared" ref="D7:V7" si="0">C7+1</f>
        <v>2018</v>
      </c>
      <c r="E7" s="7">
        <f t="shared" si="0"/>
        <v>2019</v>
      </c>
      <c r="F7" s="7">
        <f t="shared" si="0"/>
        <v>2020</v>
      </c>
      <c r="G7" s="7">
        <f t="shared" si="0"/>
        <v>2021</v>
      </c>
      <c r="H7" s="7">
        <f t="shared" si="0"/>
        <v>2022</v>
      </c>
      <c r="I7" s="7">
        <f t="shared" si="0"/>
        <v>2023</v>
      </c>
      <c r="J7" s="7">
        <f t="shared" si="0"/>
        <v>2024</v>
      </c>
      <c r="K7" s="7">
        <f t="shared" si="0"/>
        <v>2025</v>
      </c>
      <c r="L7" s="7">
        <f t="shared" si="0"/>
        <v>2026</v>
      </c>
      <c r="M7" s="7">
        <f t="shared" si="0"/>
        <v>2027</v>
      </c>
      <c r="N7" s="7">
        <f t="shared" si="0"/>
        <v>2028</v>
      </c>
      <c r="O7" s="7">
        <f t="shared" si="0"/>
        <v>2029</v>
      </c>
      <c r="P7" s="7">
        <f t="shared" si="0"/>
        <v>2030</v>
      </c>
      <c r="Q7" s="7">
        <f t="shared" si="0"/>
        <v>2031</v>
      </c>
      <c r="R7" s="7">
        <f t="shared" si="0"/>
        <v>2032</v>
      </c>
      <c r="S7" s="7">
        <f t="shared" si="0"/>
        <v>2033</v>
      </c>
      <c r="T7" s="7">
        <f t="shared" si="0"/>
        <v>2034</v>
      </c>
      <c r="U7" s="7">
        <f t="shared" si="0"/>
        <v>2035</v>
      </c>
      <c r="V7" s="40">
        <f t="shared" si="0"/>
        <v>2036</v>
      </c>
    </row>
    <row r="8" ht="51" spans="1:22">
      <c r="A8" s="8">
        <v>1</v>
      </c>
      <c r="B8" s="9" t="s">
        <v>41</v>
      </c>
      <c r="C8" s="10" t="e">
        <f>C12+C13+C14+C16+C17+C18</f>
        <v>#REF!</v>
      </c>
      <c r="D8" s="10">
        <f>D12+D13+D14+D16+D17+D18+D20+D21+D22+D24+D25+D26</f>
        <v>3491.75826312375</v>
      </c>
      <c r="E8" s="10">
        <f>E12+E13+E14+E16+E17+E18+E20+E21+E22+E24+E25+E26</f>
        <v>4556.26299</v>
      </c>
      <c r="F8" s="10">
        <f>F12+F13+F14+F16+F17+F18+F20+F21+F22+F24+F25+F26</f>
        <v>5264.11595</v>
      </c>
      <c r="G8" s="11">
        <f>G12+G13+G14+G16+G17+G18+G20+G21+G22+G24+G25+G26</f>
        <v>4173.74821707075</v>
      </c>
      <c r="H8" s="11">
        <f t="shared" ref="H8:I8" si="1">H12+H13+H14+H16+H17+H18+H20+H21+H22+H24+H25+H26</f>
        <v>0</v>
      </c>
      <c r="I8" s="11">
        <f t="shared" si="1"/>
        <v>0</v>
      </c>
      <c r="J8" s="11">
        <f>J9+J10+J11</f>
        <v>4614.06557184857</v>
      </c>
      <c r="K8" s="11">
        <f t="shared" ref="K8:V8" si="2">K9+K10+K11</f>
        <v>5311.52636950649</v>
      </c>
      <c r="L8" s="11">
        <f t="shared" si="2"/>
        <v>5085.5719589558</v>
      </c>
      <c r="M8" s="11">
        <f t="shared" si="2"/>
        <v>4859.61754840511</v>
      </c>
      <c r="N8" s="11">
        <f t="shared" si="2"/>
        <v>4633.66313785442</v>
      </c>
      <c r="O8" s="11">
        <f t="shared" si="2"/>
        <v>4407.70872730373</v>
      </c>
      <c r="P8" s="11">
        <f t="shared" si="2"/>
        <v>4181.75431675303</v>
      </c>
      <c r="Q8" s="11">
        <f t="shared" si="2"/>
        <v>3955.79990620234</v>
      </c>
      <c r="R8" s="11">
        <f t="shared" si="2"/>
        <v>3729.84549565165</v>
      </c>
      <c r="S8" s="11">
        <f t="shared" si="2"/>
        <v>3503.95160237691</v>
      </c>
      <c r="T8" s="11">
        <f t="shared" si="2"/>
        <v>-3.71619535144418e-14</v>
      </c>
      <c r="U8" s="11">
        <f t="shared" si="2"/>
        <v>0</v>
      </c>
      <c r="V8" s="41">
        <f t="shared" si="2"/>
        <v>0</v>
      </c>
    </row>
    <row r="9" spans="1:22">
      <c r="A9" s="12"/>
      <c r="B9" s="13" t="s">
        <v>42</v>
      </c>
      <c r="C9" s="10"/>
      <c r="D9" s="10"/>
      <c r="E9" s="10"/>
      <c r="F9" s="10"/>
      <c r="G9" s="11">
        <f>G12+G16+G20+G24</f>
        <v>3440.21464</v>
      </c>
      <c r="H9" s="11">
        <f t="shared" ref="G9:I11" si="3">H12+H16+H20+H24</f>
        <v>0</v>
      </c>
      <c r="I9" s="11">
        <f t="shared" si="3"/>
        <v>0</v>
      </c>
      <c r="J9" s="11">
        <f>J29+J33+J37</f>
        <v>2723.43811752977</v>
      </c>
      <c r="K9" s="11">
        <f t="shared" ref="K9:V11" si="4">K29+K33+K37</f>
        <v>3385.79852027447</v>
      </c>
      <c r="L9" s="11">
        <f t="shared" si="4"/>
        <v>3385.79852027447</v>
      </c>
      <c r="M9" s="11">
        <f t="shared" si="4"/>
        <v>3385.79852027447</v>
      </c>
      <c r="N9" s="11">
        <f t="shared" si="4"/>
        <v>3385.79852027447</v>
      </c>
      <c r="O9" s="11">
        <f t="shared" si="4"/>
        <v>3385.79852027447</v>
      </c>
      <c r="P9" s="11">
        <f t="shared" si="4"/>
        <v>3385.79852027447</v>
      </c>
      <c r="Q9" s="11">
        <f t="shared" si="4"/>
        <v>3385.79852027447</v>
      </c>
      <c r="R9" s="11">
        <f t="shared" si="4"/>
        <v>3385.79852027447</v>
      </c>
      <c r="S9" s="11">
        <f t="shared" si="4"/>
        <v>3385.79984027452</v>
      </c>
      <c r="T9" s="11">
        <f t="shared" si="4"/>
        <v>0</v>
      </c>
      <c r="U9" s="11">
        <f t="shared" si="4"/>
        <v>0</v>
      </c>
      <c r="V9" s="41">
        <f t="shared" si="4"/>
        <v>0</v>
      </c>
    </row>
    <row r="10" spans="1:22">
      <c r="A10" s="12"/>
      <c r="B10" s="13" t="s">
        <v>43</v>
      </c>
      <c r="C10" s="10"/>
      <c r="D10" s="10"/>
      <c r="E10" s="10"/>
      <c r="F10" s="10"/>
      <c r="G10" s="11">
        <f>ROUNDUP(G13+G17+G21+G25,0)</f>
        <v>708</v>
      </c>
      <c r="H10" s="11">
        <f t="shared" si="3"/>
        <v>0</v>
      </c>
      <c r="I10" s="11">
        <f t="shared" si="3"/>
        <v>0</v>
      </c>
      <c r="J10" s="11">
        <f t="shared" ref="J10:S11" si="5">J30+J34+J38</f>
        <v>1890.6274543188</v>
      </c>
      <c r="K10" s="11">
        <f t="shared" si="5"/>
        <v>1925.72784923202</v>
      </c>
      <c r="L10" s="11">
        <f t="shared" si="5"/>
        <v>1699.77343868133</v>
      </c>
      <c r="M10" s="11">
        <f t="shared" si="5"/>
        <v>1473.81902813064</v>
      </c>
      <c r="N10" s="11">
        <f t="shared" si="5"/>
        <v>1247.86461757995</v>
      </c>
      <c r="O10" s="11">
        <f t="shared" si="5"/>
        <v>1021.91020702925</v>
      </c>
      <c r="P10" s="11">
        <f t="shared" si="5"/>
        <v>795.955796478563</v>
      </c>
      <c r="Q10" s="11">
        <f t="shared" si="5"/>
        <v>570.001385927871</v>
      </c>
      <c r="R10" s="11">
        <f t="shared" si="5"/>
        <v>344.04697537718</v>
      </c>
      <c r="S10" s="11">
        <f t="shared" si="5"/>
        <v>118.151762102389</v>
      </c>
      <c r="T10" s="11">
        <f t="shared" si="4"/>
        <v>-3.71619535144418e-14</v>
      </c>
      <c r="U10" s="11">
        <f t="shared" si="4"/>
        <v>0</v>
      </c>
      <c r="V10" s="41">
        <f t="shared" si="4"/>
        <v>0</v>
      </c>
    </row>
    <row r="11" spans="1:22">
      <c r="A11" s="12"/>
      <c r="B11" s="13" t="s">
        <v>44</v>
      </c>
      <c r="C11" s="10"/>
      <c r="D11" s="10"/>
      <c r="E11" s="10"/>
      <c r="F11" s="10"/>
      <c r="G11" s="11">
        <f t="shared" si="3"/>
        <v>26.348686225</v>
      </c>
      <c r="H11" s="11">
        <f t="shared" si="3"/>
        <v>0</v>
      </c>
      <c r="I11" s="11">
        <f t="shared" si="3"/>
        <v>0</v>
      </c>
      <c r="J11" s="11">
        <f t="shared" si="5"/>
        <v>0</v>
      </c>
      <c r="K11" s="11">
        <f t="shared" si="5"/>
        <v>0</v>
      </c>
      <c r="L11" s="11">
        <f t="shared" si="5"/>
        <v>0</v>
      </c>
      <c r="M11" s="11">
        <f t="shared" si="5"/>
        <v>0</v>
      </c>
      <c r="N11" s="11">
        <f t="shared" si="5"/>
        <v>0</v>
      </c>
      <c r="O11" s="11">
        <f t="shared" si="5"/>
        <v>0</v>
      </c>
      <c r="P11" s="11">
        <f t="shared" si="5"/>
        <v>0</v>
      </c>
      <c r="Q11" s="11">
        <f t="shared" si="5"/>
        <v>0</v>
      </c>
      <c r="R11" s="11">
        <f t="shared" si="5"/>
        <v>0</v>
      </c>
      <c r="S11" s="11">
        <f t="shared" si="5"/>
        <v>0</v>
      </c>
      <c r="T11" s="11">
        <f t="shared" si="4"/>
        <v>0</v>
      </c>
      <c r="U11" s="11">
        <f t="shared" si="4"/>
        <v>0</v>
      </c>
      <c r="V11" s="41">
        <f t="shared" si="4"/>
        <v>0</v>
      </c>
    </row>
    <row r="12" ht="26.4" hidden="1" customHeight="1" spans="1:22">
      <c r="A12" s="12"/>
      <c r="B12" s="14" t="s">
        <v>45</v>
      </c>
      <c r="C12" s="15" t="e">
        <f>#REF!</f>
        <v>#REF!</v>
      </c>
      <c r="D12" s="15">
        <f>'[1]UNICREDIT5,97'!O3</f>
        <v>0</v>
      </c>
      <c r="E12" s="15">
        <f>'[1]UNICREDIT5,97'!P3</f>
        <v>206.12962</v>
      </c>
      <c r="F12" s="15">
        <f>'[1]UNICREDIT5,97'!Q3</f>
        <v>824.51848</v>
      </c>
      <c r="G12" s="16">
        <f>SUM('[1]UNICREDIT5,97'!F56:F62)/1000</f>
        <v>618.38886</v>
      </c>
      <c r="H12" s="16"/>
      <c r="I12" s="16"/>
      <c r="J12" s="16"/>
      <c r="K12" s="16"/>
      <c r="L12" s="16"/>
      <c r="M12" s="16"/>
      <c r="N12" s="16"/>
      <c r="O12" s="16"/>
      <c r="P12" s="16"/>
      <c r="Q12" s="16"/>
      <c r="R12" s="16"/>
      <c r="S12" s="16"/>
      <c r="T12" s="16"/>
      <c r="U12" s="16"/>
      <c r="V12" s="42"/>
    </row>
    <row r="13" ht="26.4" hidden="1" customHeight="1" spans="1:22">
      <c r="A13" s="12"/>
      <c r="B13" s="14" t="s">
        <v>46</v>
      </c>
      <c r="C13" s="15" t="e">
        <f>#REF!</f>
        <v>#REF!</v>
      </c>
      <c r="D13" s="15">
        <f>'[1]UNICREDIT5,97'!O4</f>
        <v>30.64309</v>
      </c>
      <c r="E13" s="15">
        <f>'[1]UNICREDIT5,97'!P4</f>
        <v>173.56406</v>
      </c>
      <c r="F13" s="15">
        <f>'[1]UNICREDIT5,97'!Q4</f>
        <v>320.61316</v>
      </c>
      <c r="G13" s="16">
        <f>SUM('[1]UNICREDIT5,97'!G56:G62)/1000</f>
        <v>165.143074887</v>
      </c>
      <c r="H13" s="16"/>
      <c r="I13" s="16"/>
      <c r="J13" s="16"/>
      <c r="K13" s="16"/>
      <c r="L13" s="16"/>
      <c r="M13" s="16"/>
      <c r="N13" s="16"/>
      <c r="O13" s="16"/>
      <c r="P13" s="16"/>
      <c r="Q13" s="16"/>
      <c r="R13" s="16"/>
      <c r="S13" s="16"/>
      <c r="T13" s="16"/>
      <c r="U13" s="16"/>
      <c r="V13" s="42"/>
    </row>
    <row r="14" ht="26.4" hidden="1" customHeight="1" spans="1:22">
      <c r="A14" s="12"/>
      <c r="B14" s="14" t="s">
        <v>47</v>
      </c>
      <c r="C14" s="15" t="e">
        <f>#REF!</f>
        <v>#REF!</v>
      </c>
      <c r="D14" s="15">
        <f>'[1]UNICREDIT5,97'!O5</f>
        <v>0</v>
      </c>
      <c r="E14" s="15">
        <f>'[1]UNICREDIT5,97'!P5</f>
        <v>0</v>
      </c>
      <c r="F14" s="15">
        <f>'[1]UNICREDIT5,97'!Q5</f>
        <v>0</v>
      </c>
      <c r="G14" s="16">
        <f>'[1]UNICREDIT5,97'!R5</f>
        <v>0</v>
      </c>
      <c r="H14" s="16"/>
      <c r="I14" s="16"/>
      <c r="J14" s="16"/>
      <c r="K14" s="16"/>
      <c r="L14" s="16"/>
      <c r="M14" s="38"/>
      <c r="N14" s="16"/>
      <c r="O14" s="16"/>
      <c r="P14" s="16"/>
      <c r="Q14" s="16"/>
      <c r="R14" s="16"/>
      <c r="S14" s="16"/>
      <c r="T14" s="16"/>
      <c r="U14" s="16"/>
      <c r="V14" s="42"/>
    </row>
    <row r="15" ht="26.4" hidden="1" customHeight="1" spans="1:22">
      <c r="A15" s="12"/>
      <c r="B15" s="17" t="s">
        <v>48</v>
      </c>
      <c r="C15" s="18" t="e">
        <f>C12+C13+C14</f>
        <v>#REF!</v>
      </c>
      <c r="D15" s="18">
        <f>D12+D13+D14</f>
        <v>30.64309</v>
      </c>
      <c r="E15" s="18">
        <f>E12+E13+E14</f>
        <v>379.69368</v>
      </c>
      <c r="F15" s="18">
        <f>F12+F13+F14</f>
        <v>1145.13164</v>
      </c>
      <c r="G15" s="19">
        <f>ROUNDDOWN(G12+G13+G14,0)</f>
        <v>783</v>
      </c>
      <c r="H15" s="19"/>
      <c r="I15" s="19"/>
      <c r="J15" s="19"/>
      <c r="K15" s="19"/>
      <c r="L15" s="19"/>
      <c r="M15" s="19"/>
      <c r="N15" s="19"/>
      <c r="O15" s="19"/>
      <c r="P15" s="19"/>
      <c r="Q15" s="19"/>
      <c r="R15" s="19"/>
      <c r="S15" s="19"/>
      <c r="T15" s="19"/>
      <c r="U15" s="19"/>
      <c r="V15" s="43"/>
    </row>
    <row r="16" ht="14.4" hidden="1" customHeight="1" spans="1:22">
      <c r="A16" s="12"/>
      <c r="B16" s="14" t="s">
        <v>49</v>
      </c>
      <c r="C16" s="20" t="e">
        <f>#REF!</f>
        <v>#REF!</v>
      </c>
      <c r="D16" s="20">
        <f>[1]UNICREDIT13!P3</f>
        <v>1392.85707</v>
      </c>
      <c r="E16" s="20">
        <f>[1]UNICREDIT13!Q3</f>
        <v>1857.14276</v>
      </c>
      <c r="F16" s="20">
        <f>[1]UNICREDIT13!R3</f>
        <v>1857.14276</v>
      </c>
      <c r="G16" s="21">
        <f>SUM([1]UNICREDIT13!F40:F43)/1000</f>
        <v>1857.14276</v>
      </c>
      <c r="H16" s="21"/>
      <c r="I16" s="21"/>
      <c r="J16" s="21"/>
      <c r="K16" s="21"/>
      <c r="L16" s="21"/>
      <c r="M16" s="21"/>
      <c r="N16" s="21"/>
      <c r="O16" s="21"/>
      <c r="P16" s="21"/>
      <c r="Q16" s="21"/>
      <c r="R16" s="21"/>
      <c r="S16" s="21"/>
      <c r="T16" s="21"/>
      <c r="U16" s="21"/>
      <c r="V16" s="44"/>
    </row>
    <row r="17" ht="14.4" hidden="1" customHeight="1" spans="1:22">
      <c r="A17" s="12"/>
      <c r="B17" s="14" t="s">
        <v>50</v>
      </c>
      <c r="C17" s="20" t="e">
        <f>#REF!</f>
        <v>#REF!</v>
      </c>
      <c r="D17" s="20">
        <f>[1]UNICREDIT13!P4</f>
        <v>577.15099</v>
      </c>
      <c r="E17" s="20">
        <f>[1]UNICREDIT13!Q4</f>
        <v>687.59926</v>
      </c>
      <c r="F17" s="20">
        <f>[1]UNICREDIT13!R4</f>
        <v>626.94667</v>
      </c>
      <c r="G17" s="21">
        <f>SUM([1]UNICREDIT13!G40:G43)/1000</f>
        <v>292.5757327785</v>
      </c>
      <c r="H17" s="21"/>
      <c r="I17" s="21"/>
      <c r="J17" s="21"/>
      <c r="K17" s="21"/>
      <c r="L17" s="21"/>
      <c r="M17" s="21"/>
      <c r="N17" s="21"/>
      <c r="O17" s="21"/>
      <c r="P17" s="21"/>
      <c r="Q17" s="21"/>
      <c r="R17" s="21"/>
      <c r="S17" s="21"/>
      <c r="T17" s="21"/>
      <c r="U17" s="21"/>
      <c r="V17" s="44"/>
    </row>
    <row r="18" ht="14.4" hidden="1" customHeight="1" spans="1:22">
      <c r="A18" s="12"/>
      <c r="B18" s="14" t="s">
        <v>51</v>
      </c>
      <c r="C18" s="20" t="e">
        <f>#REF!</f>
        <v>#REF!</v>
      </c>
      <c r="D18" s="20">
        <f>[1]UNICREDIT13!P5</f>
        <v>61.51784</v>
      </c>
      <c r="E18" s="20">
        <f>[1]UNICREDIT13!Q5</f>
        <v>52.53213</v>
      </c>
      <c r="F18" s="20">
        <f>[1]UNICREDIT13!R5</f>
        <v>42.94641</v>
      </c>
      <c r="G18" s="21">
        <f>SUM([1]UNICREDIT13!H40:H43)/1000</f>
        <v>24.375002125</v>
      </c>
      <c r="H18" s="21"/>
      <c r="I18" s="21"/>
      <c r="J18" s="21"/>
      <c r="K18" s="21"/>
      <c r="L18" s="21"/>
      <c r="M18" s="21"/>
      <c r="N18" s="21"/>
      <c r="O18" s="21"/>
      <c r="P18" s="21"/>
      <c r="Q18" s="21"/>
      <c r="R18" s="21"/>
      <c r="S18" s="21"/>
      <c r="T18" s="21"/>
      <c r="U18" s="21"/>
      <c r="V18" s="44"/>
    </row>
    <row r="19" ht="14.4" hidden="1" customHeight="1" spans="1:22">
      <c r="A19" s="12"/>
      <c r="B19" s="17" t="s">
        <v>52</v>
      </c>
      <c r="C19" s="18" t="e">
        <f>C16+C17+C18</f>
        <v>#REF!</v>
      </c>
      <c r="D19" s="18">
        <f>D16+D17+D18</f>
        <v>2031.5259</v>
      </c>
      <c r="E19" s="18">
        <f>E16+E17+E18</f>
        <v>2597.27415</v>
      </c>
      <c r="F19" s="18">
        <f>F16+F17+F18</f>
        <v>2527.03584</v>
      </c>
      <c r="G19" s="19">
        <f>G16+G17+G18</f>
        <v>2174.0934949035</v>
      </c>
      <c r="H19" s="19"/>
      <c r="I19" s="24"/>
      <c r="J19" s="24"/>
      <c r="K19" s="24"/>
      <c r="L19" s="24"/>
      <c r="M19" s="24"/>
      <c r="N19" s="24"/>
      <c r="O19" s="24"/>
      <c r="P19" s="24"/>
      <c r="Q19" s="24"/>
      <c r="R19" s="24"/>
      <c r="S19" s="24"/>
      <c r="T19" s="24"/>
      <c r="U19" s="24"/>
      <c r="V19" s="45"/>
    </row>
    <row r="20" ht="14.4" hidden="1" customHeight="1" spans="1:22">
      <c r="A20" s="12"/>
      <c r="B20" s="14" t="s">
        <v>53</v>
      </c>
      <c r="C20" s="18"/>
      <c r="D20" s="15">
        <f>[1]UNICREDIT2!P3</f>
        <v>210.52632</v>
      </c>
      <c r="E20" s="15">
        <f>[1]UNICREDIT2!Q3</f>
        <v>210.52632</v>
      </c>
      <c r="F20" s="15">
        <f>[1]UNICREDIT2!R3</f>
        <v>210.52632</v>
      </c>
      <c r="G20" s="16">
        <f>SUM([1]UNICREDIT2!F36:F38)/1000</f>
        <v>157.89474</v>
      </c>
      <c r="H20" s="16"/>
      <c r="I20" s="16"/>
      <c r="J20" s="16"/>
      <c r="K20" s="16"/>
      <c r="L20" s="16"/>
      <c r="M20" s="16"/>
      <c r="N20" s="16"/>
      <c r="O20" s="16"/>
      <c r="P20" s="16"/>
      <c r="Q20" s="16"/>
      <c r="R20" s="16"/>
      <c r="S20" s="16"/>
      <c r="T20" s="16"/>
      <c r="U20" s="16"/>
      <c r="V20" s="42"/>
    </row>
    <row r="21" ht="14.4" hidden="1" customHeight="1" spans="1:22">
      <c r="A21" s="12"/>
      <c r="B21" s="14" t="s">
        <v>54</v>
      </c>
      <c r="C21" s="18"/>
      <c r="D21" s="15">
        <f>[1]UNICREDIT2!P4</f>
        <v>65.71025</v>
      </c>
      <c r="E21" s="15">
        <f>[1]UNICREDIT2!Q4</f>
        <v>75.386</v>
      </c>
      <c r="F21" s="15">
        <f>[1]UNICREDIT2!R4</f>
        <v>66.93824</v>
      </c>
      <c r="G21" s="16">
        <f>SUM([1]UNICREDIT2!G36:G38)/1000</f>
        <v>23.7302613325</v>
      </c>
      <c r="H21" s="16"/>
      <c r="I21" s="16"/>
      <c r="J21" s="16"/>
      <c r="K21" s="16"/>
      <c r="L21" s="16"/>
      <c r="M21" s="16"/>
      <c r="N21" s="16"/>
      <c r="O21" s="16"/>
      <c r="P21" s="16"/>
      <c r="Q21" s="16"/>
      <c r="R21" s="16"/>
      <c r="S21" s="16"/>
      <c r="T21" s="16"/>
      <c r="U21" s="16"/>
      <c r="V21" s="42"/>
    </row>
    <row r="22" ht="14.4" hidden="1" customHeight="1" spans="1:22">
      <c r="A22" s="12"/>
      <c r="B22" s="14" t="s">
        <v>55</v>
      </c>
      <c r="C22" s="18"/>
      <c r="D22" s="15">
        <f>[1]UNICREDIT2!P5</f>
        <v>6.77629</v>
      </c>
      <c r="E22" s="15">
        <f>[1]UNICREDIT2!Q5</f>
        <v>5.72366</v>
      </c>
      <c r="F22" s="15">
        <f>[1]UNICREDIT2!R5</f>
        <v>4.67104</v>
      </c>
      <c r="G22" s="16">
        <f>SUM([1]UNICREDIT2!H36:H38)/1000</f>
        <v>1.9736841</v>
      </c>
      <c r="H22" s="16"/>
      <c r="I22" s="16"/>
      <c r="J22" s="16"/>
      <c r="K22" s="16"/>
      <c r="L22" s="16"/>
      <c r="M22" s="16"/>
      <c r="N22" s="16"/>
      <c r="O22" s="16"/>
      <c r="P22" s="16"/>
      <c r="Q22" s="16"/>
      <c r="R22" s="16"/>
      <c r="S22" s="16"/>
      <c r="T22" s="16"/>
      <c r="U22" s="16"/>
      <c r="V22" s="42"/>
    </row>
    <row r="23" ht="14.4" hidden="1" customHeight="1" spans="1:22">
      <c r="A23" s="12"/>
      <c r="B23" s="17" t="s">
        <v>56</v>
      </c>
      <c r="C23" s="18"/>
      <c r="D23" s="18">
        <f>D20+D21+D22</f>
        <v>283.01286</v>
      </c>
      <c r="E23" s="18">
        <f>E20+E21+E22</f>
        <v>291.63598</v>
      </c>
      <c r="F23" s="18">
        <f>F20+F21+F22</f>
        <v>282.1356</v>
      </c>
      <c r="G23" s="19">
        <f>G20+G21+G22</f>
        <v>183.5986854325</v>
      </c>
      <c r="H23" s="19"/>
      <c r="I23" s="19"/>
      <c r="J23" s="19"/>
      <c r="K23" s="19"/>
      <c r="L23" s="19"/>
      <c r="M23" s="19"/>
      <c r="N23" s="19"/>
      <c r="O23" s="19"/>
      <c r="P23" s="19"/>
      <c r="Q23" s="19"/>
      <c r="R23" s="19"/>
      <c r="S23" s="19"/>
      <c r="T23" s="19"/>
      <c r="U23" s="19"/>
      <c r="V23" s="43"/>
    </row>
    <row r="24" ht="14.4" hidden="1" customHeight="1" spans="1:22">
      <c r="A24" s="12"/>
      <c r="B24" s="14" t="s">
        <v>57</v>
      </c>
      <c r="C24" s="18"/>
      <c r="D24" s="15">
        <f>'[1]BCR14,84'!S3</f>
        <v>806.78828</v>
      </c>
      <c r="E24" s="15">
        <f>'[1]BCR14,84'!T3</f>
        <v>806.78828</v>
      </c>
      <c r="F24" s="15">
        <f>'[1]BCR14,84'!U3</f>
        <v>806.78828</v>
      </c>
      <c r="G24" s="16">
        <f>SUM('[1]BCR14,84'!F98:F104)/1000</f>
        <v>806.78828</v>
      </c>
      <c r="H24" s="16"/>
      <c r="I24" s="16"/>
      <c r="J24" s="16"/>
      <c r="K24" s="16"/>
      <c r="L24" s="16"/>
      <c r="M24" s="16"/>
      <c r="N24" s="16"/>
      <c r="O24" s="16"/>
      <c r="P24" s="16"/>
      <c r="Q24" s="16"/>
      <c r="R24" s="16"/>
      <c r="S24" s="16"/>
      <c r="T24" s="16"/>
      <c r="U24" s="16"/>
      <c r="V24" s="42"/>
    </row>
    <row r="25" ht="14.4" hidden="1" customHeight="1" spans="1:22">
      <c r="A25" s="12"/>
      <c r="B25" s="14" t="s">
        <v>58</v>
      </c>
      <c r="C25" s="18"/>
      <c r="D25" s="15">
        <f>'[1]BCR14,84'!S4</f>
        <v>331.24122</v>
      </c>
      <c r="E25" s="15">
        <f>'[1]BCR14,84'!T4</f>
        <v>480.8709</v>
      </c>
      <c r="F25" s="15">
        <f>'[1]BCR14,84'!U4</f>
        <v>503.02459</v>
      </c>
      <c r="G25" s="16">
        <f>SUM('[1]BCR14,84'!G98:G104)/1000</f>
        <v>225.73582184775</v>
      </c>
      <c r="H25" s="16"/>
      <c r="I25" s="16"/>
      <c r="J25" s="16"/>
      <c r="K25" s="16"/>
      <c r="L25" s="16"/>
      <c r="M25" s="16"/>
      <c r="N25" s="16"/>
      <c r="O25" s="16"/>
      <c r="P25" s="16"/>
      <c r="Q25" s="16"/>
      <c r="R25" s="16"/>
      <c r="S25" s="16"/>
      <c r="T25" s="16"/>
      <c r="U25" s="16"/>
      <c r="V25" s="42"/>
    </row>
    <row r="26" ht="14.4" hidden="1" customHeight="1" spans="1:22">
      <c r="A26" s="12"/>
      <c r="B26" s="14" t="s">
        <v>59</v>
      </c>
      <c r="C26" s="18"/>
      <c r="D26" s="15">
        <f>'[1]BCR14,84'!S5</f>
        <v>8.54691312375</v>
      </c>
      <c r="E26" s="15">
        <f>'[1]BCR14,84'!T5</f>
        <v>0</v>
      </c>
      <c r="F26" s="15">
        <f>'[1]BCR14,84'!U5</f>
        <v>0</v>
      </c>
      <c r="G26" s="16">
        <f>'[1]BCR14,84'!V5</f>
        <v>0</v>
      </c>
      <c r="H26" s="16"/>
      <c r="I26" s="16"/>
      <c r="J26" s="16"/>
      <c r="K26" s="16"/>
      <c r="L26" s="16"/>
      <c r="M26" s="16"/>
      <c r="N26" s="16"/>
      <c r="O26" s="16"/>
      <c r="P26" s="16"/>
      <c r="Q26" s="16"/>
      <c r="R26" s="16"/>
      <c r="S26" s="16"/>
      <c r="T26" s="16"/>
      <c r="U26" s="16"/>
      <c r="V26" s="42"/>
    </row>
    <row r="27" ht="14.4" hidden="1" customHeight="1" spans="1:22">
      <c r="A27" s="12"/>
      <c r="B27" s="17" t="s">
        <v>60</v>
      </c>
      <c r="C27" s="18"/>
      <c r="D27" s="18">
        <f>D24+D25+D26</f>
        <v>1146.57641312375</v>
      </c>
      <c r="E27" s="18">
        <f>E24+E25+E26</f>
        <v>1287.65918</v>
      </c>
      <c r="F27" s="18">
        <f>F24+F25+F26</f>
        <v>1309.81287</v>
      </c>
      <c r="G27" s="19">
        <f>G24+G25+G26</f>
        <v>1032.52410184775</v>
      </c>
      <c r="H27" s="19"/>
      <c r="I27" s="19"/>
      <c r="J27" s="19"/>
      <c r="K27" s="19"/>
      <c r="L27" s="19"/>
      <c r="M27" s="19"/>
      <c r="N27" s="19"/>
      <c r="O27" s="19"/>
      <c r="P27" s="19"/>
      <c r="Q27" s="19"/>
      <c r="R27" s="19"/>
      <c r="S27" s="19"/>
      <c r="T27" s="19"/>
      <c r="U27" s="19"/>
      <c r="V27" s="43"/>
    </row>
    <row r="28" ht="52.95" hidden="1" customHeight="1" spans="1:22">
      <c r="A28" s="12"/>
      <c r="B28" s="22" t="s">
        <v>61</v>
      </c>
      <c r="C28" s="23" t="e">
        <f>+C33+C34+C35</f>
        <v>#VALUE!</v>
      </c>
      <c r="D28" s="23">
        <f>+D33+D34+D35</f>
        <v>0</v>
      </c>
      <c r="E28" s="23">
        <f>+E33+E34+E35</f>
        <v>0</v>
      </c>
      <c r="F28" s="23">
        <f>+F33+F34+F35</f>
        <v>0</v>
      </c>
      <c r="G28" s="24">
        <f>ROUNDDOWN(G29+G30+G31+G33+G34+G35++G37+G38+G39,0)</f>
        <v>50</v>
      </c>
      <c r="H28" s="24">
        <f>ROUNDUP(H29+H30+H31+H33+H34+H35++H37+H38+H39,0)+1</f>
        <v>1951</v>
      </c>
      <c r="I28" s="24">
        <f t="shared" ref="I28" si="6">I29+I30+I31+I33+I34+I35++I37+I38+I39</f>
        <v>2674.89855</v>
      </c>
      <c r="J28" s="24"/>
      <c r="K28" s="24"/>
      <c r="L28" s="24"/>
      <c r="M28" s="24"/>
      <c r="N28" s="24"/>
      <c r="O28" s="24"/>
      <c r="P28" s="24"/>
      <c r="Q28" s="24"/>
      <c r="R28" s="24"/>
      <c r="S28" s="24"/>
      <c r="T28" s="24"/>
      <c r="U28" s="24"/>
      <c r="V28" s="45"/>
    </row>
    <row r="29" spans="1:23">
      <c r="A29" s="12"/>
      <c r="B29" s="25" t="s">
        <v>62</v>
      </c>
      <c r="C29" s="23"/>
      <c r="D29" s="23"/>
      <c r="E29" s="23"/>
      <c r="F29" s="23"/>
      <c r="G29" s="21">
        <f>[1]ImprumutRefin!R3</f>
        <v>0</v>
      </c>
      <c r="H29" s="21">
        <f>[1]ImprumutRefin!S3</f>
        <v>1099.6354</v>
      </c>
      <c r="I29" s="21">
        <f>[1]ImprumutRefin!T3</f>
        <v>1319.56248</v>
      </c>
      <c r="J29" s="21">
        <f>[1]ImprumutRefin!U3</f>
        <v>1319.56248</v>
      </c>
      <c r="K29" s="21">
        <f>[1]ImprumutRefin!V3</f>
        <v>1319.56248</v>
      </c>
      <c r="L29" s="21">
        <f>[1]ImprumutRefin!W3</f>
        <v>1319.56248</v>
      </c>
      <c r="M29" s="21">
        <f>[1]ImprumutRefin!X3</f>
        <v>1319.56248</v>
      </c>
      <c r="N29" s="21">
        <f>[1]ImprumutRefin!Y3</f>
        <v>1319.56248</v>
      </c>
      <c r="O29" s="21">
        <f>[1]ImprumutRefin!Z3</f>
        <v>1319.56248</v>
      </c>
      <c r="P29" s="21">
        <f>[1]ImprumutRefin!AA3</f>
        <v>1319.56248</v>
      </c>
      <c r="Q29" s="21">
        <f>[1]ImprumutRefin!AB3</f>
        <v>1319.56248</v>
      </c>
      <c r="R29" s="21">
        <f>[1]ImprumutRefin!AC3</f>
        <v>1319.56248</v>
      </c>
      <c r="S29" s="21">
        <f>[1]ImprumutRefin!AD3</f>
        <v>1319.56380000005</v>
      </c>
      <c r="T29" s="21">
        <f>[1]ImprumutRefin!AE3</f>
        <v>0</v>
      </c>
      <c r="U29" s="21">
        <f>[1]ImprumutRefin!AF3</f>
        <v>0</v>
      </c>
      <c r="V29" s="44">
        <f>[1]ImprumutRefin!AG3</f>
        <v>0</v>
      </c>
      <c r="W29" s="46"/>
    </row>
    <row r="30" spans="1:22">
      <c r="A30" s="12"/>
      <c r="B30" s="25" t="s">
        <v>63</v>
      </c>
      <c r="C30" s="23"/>
      <c r="D30" s="23"/>
      <c r="E30" s="23"/>
      <c r="F30" s="23"/>
      <c r="G30" s="21">
        <f>[1]ImprumutRefin!R4</f>
        <v>0</v>
      </c>
      <c r="H30" s="21">
        <f>[1]ImprumutRefin!S4</f>
        <v>838.07044</v>
      </c>
      <c r="I30" s="21">
        <f>[1]ImprumutRefin!T4</f>
        <v>1144.20859</v>
      </c>
      <c r="J30" s="21">
        <f>[1]ImprumutRefin!U4</f>
        <v>877.105630951334</v>
      </c>
      <c r="K30" s="21">
        <f>[1]ImprumutRefin!V4</f>
        <v>728.123665382002</v>
      </c>
      <c r="L30" s="21">
        <f>[1]ImprumutRefin!W4</f>
        <v>642.879929174003</v>
      </c>
      <c r="M30" s="21">
        <f>[1]ImprumutRefin!X4</f>
        <v>557.636192966003</v>
      </c>
      <c r="N30" s="21">
        <f>[1]ImprumutRefin!Y4</f>
        <v>472.392456758003</v>
      </c>
      <c r="O30" s="21">
        <f>[1]ImprumutRefin!Z4</f>
        <v>387.148720550003</v>
      </c>
      <c r="P30" s="21">
        <f>[1]ImprumutRefin!AA4</f>
        <v>301.904984342003</v>
      </c>
      <c r="Q30" s="21">
        <f>[1]ImprumutRefin!AB4</f>
        <v>216.661248134003</v>
      </c>
      <c r="R30" s="21">
        <f>[1]ImprumutRefin!AC4</f>
        <v>131.417511926003</v>
      </c>
      <c r="S30" s="21">
        <f>[1]ImprumutRefin!AD4</f>
        <v>46.2329729939031</v>
      </c>
      <c r="T30" s="21">
        <f>[1]ImprumutRefin!AE4</f>
        <v>0</v>
      </c>
      <c r="U30" s="21">
        <f>[1]ImprumutRefin!AF4</f>
        <v>0</v>
      </c>
      <c r="V30" s="44">
        <f>[1]ImprumutRefin!AG4</f>
        <v>0</v>
      </c>
    </row>
    <row r="31" spans="1:22">
      <c r="A31" s="12"/>
      <c r="B31" s="25" t="s">
        <v>64</v>
      </c>
      <c r="C31" s="23"/>
      <c r="D31" s="23"/>
      <c r="E31" s="23"/>
      <c r="F31" s="23"/>
      <c r="G31" s="21">
        <f>[1]ImprumutRefin!R5</f>
        <v>0</v>
      </c>
      <c r="H31" s="21">
        <f>[1]ImprumutRefin!S5</f>
        <v>0</v>
      </c>
      <c r="I31" s="21">
        <f>[1]ImprumutRefin!T5</f>
        <v>0</v>
      </c>
      <c r="J31" s="21">
        <f>[1]ImprumutRefin!U5</f>
        <v>0</v>
      </c>
      <c r="K31" s="21">
        <f>[1]ImprumutRefin!V5</f>
        <v>0</v>
      </c>
      <c r="L31" s="21">
        <f>[1]ImprumutRefin!W5</f>
        <v>0</v>
      </c>
      <c r="M31" s="21">
        <f>[1]ImprumutRefin!X5</f>
        <v>0</v>
      </c>
      <c r="N31" s="21">
        <f>[1]ImprumutRefin!Y5</f>
        <v>0</v>
      </c>
      <c r="O31" s="21">
        <f>[1]ImprumutRefin!Z5</f>
        <v>0</v>
      </c>
      <c r="P31" s="21">
        <f>[1]ImprumutRefin!AA5</f>
        <v>0</v>
      </c>
      <c r="Q31" s="21">
        <f>[1]ImprumutRefin!AB5</f>
        <v>0</v>
      </c>
      <c r="R31" s="21">
        <f>[1]ImprumutRefin!AC5</f>
        <v>0</v>
      </c>
      <c r="S31" s="21">
        <f>[1]ImprumutRefin!AD5</f>
        <v>0</v>
      </c>
      <c r="T31" s="21">
        <f>[1]ImprumutRefin!AE5</f>
        <v>0</v>
      </c>
      <c r="U31" s="21">
        <f>[1]ImprumutRefin!AF5</f>
        <v>0</v>
      </c>
      <c r="V31" s="44">
        <f>[1]ImprumutRefin!AG5</f>
        <v>0</v>
      </c>
    </row>
    <row r="32" ht="25.5" spans="1:22">
      <c r="A32" s="12"/>
      <c r="B32" s="22" t="s">
        <v>65</v>
      </c>
      <c r="C32" s="23"/>
      <c r="D32" s="23"/>
      <c r="E32" s="23"/>
      <c r="F32" s="23"/>
      <c r="G32" s="24">
        <f>G29+G30+G31</f>
        <v>0</v>
      </c>
      <c r="H32" s="24">
        <f>ROUNDUP(H29+H30+H31,0)</f>
        <v>1938</v>
      </c>
      <c r="I32" s="24">
        <f>ROUNDUP(I29+I30+I31,0)</f>
        <v>2464</v>
      </c>
      <c r="J32" s="24">
        <f>ROUNDUP(J29+J30+J31,0)</f>
        <v>2197</v>
      </c>
      <c r="K32" s="24">
        <f>ROUNDUP(K29+K30+K31,0)</f>
        <v>2048</v>
      </c>
      <c r="L32" s="24">
        <f>ROUNDUP(L29+L30+L31,0)</f>
        <v>1963</v>
      </c>
      <c r="M32" s="24">
        <f t="shared" ref="M32:R32" si="7">M29+M30+M31</f>
        <v>1877.198672966</v>
      </c>
      <c r="N32" s="24">
        <f>ROUNDUP(N29+N30+N31,0)</f>
        <v>1792</v>
      </c>
      <c r="O32" s="24">
        <f>ROUNDUP(O29+O30+O31,0)</f>
        <v>1707</v>
      </c>
      <c r="P32" s="24">
        <f>ROUNDUP(P29+P30+P31,0)</f>
        <v>1622</v>
      </c>
      <c r="Q32" s="24">
        <f t="shared" si="7"/>
        <v>1536.223728134</v>
      </c>
      <c r="R32" s="24">
        <f t="shared" si="7"/>
        <v>1450.979991926</v>
      </c>
      <c r="S32" s="24">
        <f>ROUNDUP(S29+S30+S31,0)</f>
        <v>1366</v>
      </c>
      <c r="T32" s="24">
        <f t="shared" ref="T32:V32" si="8">ROUNDUP(T29+T30+T31,0)</f>
        <v>0</v>
      </c>
      <c r="U32" s="24">
        <f t="shared" si="8"/>
        <v>0</v>
      </c>
      <c r="V32" s="45">
        <f t="shared" si="8"/>
        <v>0</v>
      </c>
    </row>
    <row r="33" spans="1:23">
      <c r="A33" s="12"/>
      <c r="B33" s="25" t="s">
        <v>66</v>
      </c>
      <c r="C33" s="20" t="str">
        <f>'[2]Credit nou'!K3</f>
        <v>Rambursari</v>
      </c>
      <c r="D33" s="20"/>
      <c r="E33" s="20"/>
      <c r="F33" s="20"/>
      <c r="G33" s="21">
        <f>[1]Imprumutbugetlocal!R3</f>
        <v>0</v>
      </c>
      <c r="H33" s="21">
        <f>[1]Imprumutbugetlocal!S3</f>
        <v>0</v>
      </c>
      <c r="I33" s="21">
        <f>[1]Imprumutbugetlocal!T3</f>
        <v>0</v>
      </c>
      <c r="J33" s="21">
        <f>[1]Imprumutbugetlocal!U3</f>
        <v>490.361729174312</v>
      </c>
      <c r="K33" s="21">
        <f>[1]Imprumutbugetlocal!V3</f>
        <v>612.182030091743</v>
      </c>
      <c r="L33" s="21">
        <f>[1]Imprumutbugetlocal!W3</f>
        <v>612.182030091743</v>
      </c>
      <c r="M33" s="21">
        <f>[1]Imprumutbugetlocal!X3</f>
        <v>612.182030091743</v>
      </c>
      <c r="N33" s="21">
        <f>[1]Imprumutbugetlocal!Y3</f>
        <v>612.182030091743</v>
      </c>
      <c r="O33" s="21">
        <f>[1]Imprumutbugetlocal!Z3</f>
        <v>612.182030091743</v>
      </c>
      <c r="P33" s="21">
        <f>[1]Imprumutbugetlocal!AA3</f>
        <v>612.182030091743</v>
      </c>
      <c r="Q33" s="21">
        <f>[1]Imprumutbugetlocal!AB3</f>
        <v>612.182030091743</v>
      </c>
      <c r="R33" s="21">
        <f>[1]Imprumutbugetlocal!AC3</f>
        <v>612.182030091743</v>
      </c>
      <c r="S33" s="21">
        <f>[1]Imprumutbugetlocal!AD3</f>
        <v>612.182030091743</v>
      </c>
      <c r="T33" s="21">
        <f>[1]Imprumutbugetlocal!AE3</f>
        <v>0</v>
      </c>
      <c r="U33" s="21">
        <f>[1]Imprumutbugetlocal!AF3</f>
        <v>0</v>
      </c>
      <c r="V33" s="44">
        <f>[1]Imprumutbugetlocal!AG3</f>
        <v>0</v>
      </c>
      <c r="W33" s="46"/>
    </row>
    <row r="34" spans="1:22">
      <c r="A34" s="12"/>
      <c r="B34" s="25" t="s">
        <v>67</v>
      </c>
      <c r="C34" s="20" t="str">
        <f>'[2]Credit nou'!K4</f>
        <v>Dobanzi</v>
      </c>
      <c r="D34" s="20"/>
      <c r="E34" s="20"/>
      <c r="F34" s="20"/>
      <c r="G34" s="21">
        <f>[1]Imprumutbugetlocal!R4</f>
        <v>0</v>
      </c>
      <c r="H34" s="21">
        <f>[1]Imprumutbugetlocal!S4</f>
        <v>0</v>
      </c>
      <c r="I34" s="21">
        <f>[1]Imprumutbugetlocal!T4</f>
        <v>5.26135</v>
      </c>
      <c r="J34" s="21">
        <f>[1]Imprumutbugetlocal!U4</f>
        <v>329.726255183843</v>
      </c>
      <c r="K34" s="21">
        <f>[1]Imprumutbugetlocal!V4</f>
        <v>354.824785854708</v>
      </c>
      <c r="L34" s="21">
        <f>[1]Imprumutbugetlocal!W4</f>
        <v>313.135189605461</v>
      </c>
      <c r="M34" s="21">
        <f>[1]Imprumutbugetlocal!X4</f>
        <v>271.445593356213</v>
      </c>
      <c r="N34" s="21">
        <f>[1]Imprumutbugetlocal!Y4</f>
        <v>229.755997106965</v>
      </c>
      <c r="O34" s="21">
        <f>[1]Imprumutbugetlocal!Z4</f>
        <v>188.066400857717</v>
      </c>
      <c r="P34" s="21">
        <f>[1]Imprumutbugetlocal!AA4</f>
        <v>146.37680460847</v>
      </c>
      <c r="Q34" s="21">
        <f>[1]Imprumutbugetlocal!AB4</f>
        <v>104.687208359222</v>
      </c>
      <c r="R34" s="21">
        <f>[1]Imprumutbugetlocal!AC4</f>
        <v>62.9976121099742</v>
      </c>
      <c r="S34" s="21">
        <f>[1]Imprumutbugetlocal!AD4</f>
        <v>21.3080158607265</v>
      </c>
      <c r="T34" s="21">
        <f>[1]Imprumutbugetlocal!AE4</f>
        <v>-3.71619535144418e-14</v>
      </c>
      <c r="U34" s="21">
        <f>[1]Imprumutbugetlocal!AF4</f>
        <v>0</v>
      </c>
      <c r="V34" s="44">
        <f>[1]Imprumutbugetlocal!AG4</f>
        <v>0</v>
      </c>
    </row>
    <row r="35" spans="1:22">
      <c r="A35" s="12"/>
      <c r="B35" s="25" t="s">
        <v>68</v>
      </c>
      <c r="C35" s="20" t="str">
        <f>'[2]Credit nou'!K5</f>
        <v>Comisioane</v>
      </c>
      <c r="D35" s="20"/>
      <c r="E35" s="20"/>
      <c r="F35" s="20"/>
      <c r="G35" s="21">
        <f>[1]Imprumutbugetlocal!R5</f>
        <v>15</v>
      </c>
      <c r="H35" s="21">
        <f>[1]Imprumutbugetlocal!S5</f>
        <v>0</v>
      </c>
      <c r="I35" s="21">
        <f>[1]Imprumutbugetlocal!T5</f>
        <v>0</v>
      </c>
      <c r="J35" s="21">
        <f>[1]Imprumutbugetlocal!U5</f>
        <v>0</v>
      </c>
      <c r="K35" s="21">
        <f>[1]Imprumutbugetlocal!V5</f>
        <v>0</v>
      </c>
      <c r="L35" s="21">
        <f>[1]Imprumutbugetlocal!W5</f>
        <v>0</v>
      </c>
      <c r="M35" s="21">
        <f>[1]Imprumutbugetlocal!X5</f>
        <v>0</v>
      </c>
      <c r="N35" s="21">
        <f>[1]Imprumutbugetlocal!Y5</f>
        <v>0</v>
      </c>
      <c r="O35" s="21">
        <f>[1]Imprumutbugetlocal!Z5</f>
        <v>0</v>
      </c>
      <c r="P35" s="21">
        <f>[1]Imprumutbugetlocal!AA5</f>
        <v>0</v>
      </c>
      <c r="Q35" s="21">
        <f>[1]Imprumutbugetlocal!AB5</f>
        <v>0</v>
      </c>
      <c r="R35" s="21">
        <f>[1]Imprumutbugetlocal!AC5</f>
        <v>0</v>
      </c>
      <c r="S35" s="21">
        <f>[1]Imprumutbugetlocal!AD5</f>
        <v>0</v>
      </c>
      <c r="T35" s="21">
        <f>[1]Imprumutbugetlocal!AE5</f>
        <v>0</v>
      </c>
      <c r="U35" s="21">
        <f>[1]Imprumutbugetlocal!AF5</f>
        <v>0</v>
      </c>
      <c r="V35" s="44">
        <f>[1]Imprumutbugetlocal!AG5</f>
        <v>0</v>
      </c>
    </row>
    <row r="36" ht="25.5" spans="1:22">
      <c r="A36" s="12"/>
      <c r="B36" s="22" t="s">
        <v>69</v>
      </c>
      <c r="C36" s="20"/>
      <c r="D36" s="20"/>
      <c r="E36" s="20"/>
      <c r="F36" s="20"/>
      <c r="G36" s="24">
        <f>G33+G34+G35</f>
        <v>15</v>
      </c>
      <c r="H36" s="24">
        <f>H33+H34+H35</f>
        <v>0</v>
      </c>
      <c r="I36" s="24">
        <f t="shared" ref="I36:V36" si="9">I33+I34+I35</f>
        <v>5.26135</v>
      </c>
      <c r="J36" s="24">
        <f t="shared" si="9"/>
        <v>820.087984358155</v>
      </c>
      <c r="K36" s="24">
        <f t="shared" si="9"/>
        <v>967.006815946451</v>
      </c>
      <c r="L36" s="24">
        <f t="shared" si="9"/>
        <v>925.317219697204</v>
      </c>
      <c r="M36" s="24">
        <f t="shared" si="9"/>
        <v>883.627623447956</v>
      </c>
      <c r="N36" s="24">
        <f t="shared" si="9"/>
        <v>841.938027198708</v>
      </c>
      <c r="O36" s="24">
        <f t="shared" si="9"/>
        <v>800.248430949461</v>
      </c>
      <c r="P36" s="24">
        <f t="shared" si="9"/>
        <v>758.558834700213</v>
      </c>
      <c r="Q36" s="24">
        <f t="shared" si="9"/>
        <v>716.869238450965</v>
      </c>
      <c r="R36" s="24">
        <f t="shared" si="9"/>
        <v>675.179642201717</v>
      </c>
      <c r="S36" s="24">
        <f t="shared" si="9"/>
        <v>633.49004595247</v>
      </c>
      <c r="T36" s="24">
        <f t="shared" si="9"/>
        <v>-3.71619535144418e-14</v>
      </c>
      <c r="U36" s="24">
        <f t="shared" si="9"/>
        <v>0</v>
      </c>
      <c r="V36" s="45">
        <f t="shared" si="9"/>
        <v>0</v>
      </c>
    </row>
    <row r="37" spans="1:23">
      <c r="A37" s="12"/>
      <c r="B37" s="25" t="s">
        <v>70</v>
      </c>
      <c r="C37" s="20"/>
      <c r="D37" s="20"/>
      <c r="E37" s="20"/>
      <c r="F37" s="20"/>
      <c r="G37" s="21">
        <f>[1]ImprumutNouUE!R3</f>
        <v>0</v>
      </c>
      <c r="H37" s="21">
        <f>[1]ImprumutNouUE!S3</f>
        <v>0</v>
      </c>
      <c r="I37" s="21">
        <f>[1]ImprumutNouUE!T3</f>
        <v>0</v>
      </c>
      <c r="J37" s="21">
        <f>[1]ImprumutNouUE!U3</f>
        <v>913.513908355455</v>
      </c>
      <c r="K37" s="21">
        <f>[1]ImprumutNouUE!V3</f>
        <v>1454.05401018273</v>
      </c>
      <c r="L37" s="21">
        <f>[1]ImprumutNouUE!W3</f>
        <v>1454.05401018273</v>
      </c>
      <c r="M37" s="21">
        <f>[1]ImprumutNouUE!X3</f>
        <v>1454.05401018273</v>
      </c>
      <c r="N37" s="21">
        <f>[1]ImprumutNouUE!Y3</f>
        <v>1454.05401018273</v>
      </c>
      <c r="O37" s="21">
        <f>[1]ImprumutNouUE!Z3</f>
        <v>1454.05401018273</v>
      </c>
      <c r="P37" s="21">
        <f>[1]ImprumutNouUE!AA3</f>
        <v>1454.05401018273</v>
      </c>
      <c r="Q37" s="21">
        <f>[1]ImprumutNouUE!AB3</f>
        <v>1454.05401018273</v>
      </c>
      <c r="R37" s="21">
        <f>[1]ImprumutNouUE!AC3</f>
        <v>1454.05401018273</v>
      </c>
      <c r="S37" s="21">
        <f>[1]ImprumutNouUE!AD3</f>
        <v>1454.05401018273</v>
      </c>
      <c r="T37" s="21">
        <f>[1]ImprumutNouUE!AE3</f>
        <v>0</v>
      </c>
      <c r="U37" s="21">
        <f>[1]ImprumutNouUE!AF3</f>
        <v>0</v>
      </c>
      <c r="V37" s="44">
        <f>[1]ImprumutNouUE!AG3</f>
        <v>0</v>
      </c>
      <c r="W37" s="46"/>
    </row>
    <row r="38" spans="1:22">
      <c r="A38" s="12"/>
      <c r="B38" s="25" t="s">
        <v>71</v>
      </c>
      <c r="C38" s="20"/>
      <c r="D38" s="20"/>
      <c r="E38" s="20"/>
      <c r="F38" s="20"/>
      <c r="G38" s="21">
        <f>[1]ImprumutNouUE!R4</f>
        <v>0</v>
      </c>
      <c r="H38" s="21">
        <f>[1]ImprumutNouUE!S4</f>
        <v>11.81379</v>
      </c>
      <c r="I38" s="21">
        <f>[1]ImprumutNouUE!T4</f>
        <v>205.86613</v>
      </c>
      <c r="J38" s="21">
        <f>[1]ImprumutNouUE!U4</f>
        <v>683.795568183626</v>
      </c>
      <c r="K38" s="21">
        <f>[1]ImprumutNouUE!V4</f>
        <v>842.77939799531</v>
      </c>
      <c r="L38" s="21">
        <f>[1]ImprumutNouUE!W4</f>
        <v>743.758319901866</v>
      </c>
      <c r="M38" s="21">
        <f>[1]ImprumutNouUE!X4</f>
        <v>644.737241808422</v>
      </c>
      <c r="N38" s="21">
        <f>[1]ImprumutNouUE!Y4</f>
        <v>545.716163714978</v>
      </c>
      <c r="O38" s="21">
        <f>[1]ImprumutNouUE!Z4</f>
        <v>446.695085621534</v>
      </c>
      <c r="P38" s="21">
        <f>[1]ImprumutNouUE!AA4</f>
        <v>347.67400752809</v>
      </c>
      <c r="Q38" s="21">
        <f>[1]ImprumutNouUE!AB4</f>
        <v>248.652929434646</v>
      </c>
      <c r="R38" s="21">
        <f>[1]ImprumutNouUE!AC4</f>
        <v>149.631851341203</v>
      </c>
      <c r="S38" s="21">
        <f>[1]ImprumutNouUE!AD4</f>
        <v>50.6107732477589</v>
      </c>
      <c r="T38" s="21">
        <f>[1]ImprumutNouUE!AE4</f>
        <v>0</v>
      </c>
      <c r="U38" s="21">
        <f>[1]ImprumutNouUE!AF4</f>
        <v>0</v>
      </c>
      <c r="V38" s="44">
        <f>[1]ImprumutNouUE!AG4</f>
        <v>0</v>
      </c>
    </row>
    <row r="39" spans="1:22">
      <c r="A39" s="12"/>
      <c r="B39" s="25" t="s">
        <v>72</v>
      </c>
      <c r="C39" s="20"/>
      <c r="D39" s="20"/>
      <c r="E39" s="20"/>
      <c r="F39" s="20"/>
      <c r="G39" s="21">
        <f>[1]ImprumutNouUE!R5</f>
        <v>35</v>
      </c>
      <c r="H39" s="21">
        <f>[1]ImprumutNouUE!S5</f>
        <v>0</v>
      </c>
      <c r="I39" s="21">
        <f>[1]ImprumutNouUE!T5</f>
        <v>0</v>
      </c>
      <c r="J39" s="21">
        <f>[1]ImprumutNouUE!U5</f>
        <v>0</v>
      </c>
      <c r="K39" s="21">
        <f>[1]ImprumutNouUE!V5</f>
        <v>0</v>
      </c>
      <c r="L39" s="21">
        <f>[1]ImprumutNouUE!W5</f>
        <v>0</v>
      </c>
      <c r="M39" s="21">
        <f>[1]ImprumutNouUE!X5</f>
        <v>0</v>
      </c>
      <c r="N39" s="21">
        <f>[1]ImprumutNouUE!Y5</f>
        <v>0</v>
      </c>
      <c r="O39" s="21">
        <f>[1]ImprumutNouUE!Z5</f>
        <v>0</v>
      </c>
      <c r="P39" s="21">
        <f>[1]ImprumutNouUE!AA5</f>
        <v>0</v>
      </c>
      <c r="Q39" s="21">
        <f>[1]ImprumutNouUE!AB5</f>
        <v>0</v>
      </c>
      <c r="R39" s="21">
        <f>[1]ImprumutNouUE!AC5</f>
        <v>0</v>
      </c>
      <c r="S39" s="21">
        <f>[1]ImprumutNouUE!AD5</f>
        <v>0</v>
      </c>
      <c r="T39" s="21">
        <f>[1]ImprumutNouUE!AE5</f>
        <v>0</v>
      </c>
      <c r="U39" s="21">
        <f>[1]ImprumutNouUE!AF5</f>
        <v>0</v>
      </c>
      <c r="V39" s="44">
        <f>[1]ImprumutNouUE!AG5</f>
        <v>0</v>
      </c>
    </row>
    <row r="40" ht="25.5" spans="1:22">
      <c r="A40" s="26"/>
      <c r="B40" s="22" t="s">
        <v>73</v>
      </c>
      <c r="C40" s="20"/>
      <c r="D40" s="20"/>
      <c r="E40" s="20"/>
      <c r="F40" s="20"/>
      <c r="G40" s="24">
        <f>G37+G38+G39</f>
        <v>35</v>
      </c>
      <c r="H40" s="24">
        <f t="shared" ref="H40:R40" si="10">H37+H38+H39</f>
        <v>11.81379</v>
      </c>
      <c r="I40" s="24">
        <f>ROUNDDOWN(I37+I38+I39,0)</f>
        <v>205</v>
      </c>
      <c r="J40" s="24">
        <f t="shared" si="10"/>
        <v>1597.30947653908</v>
      </c>
      <c r="K40" s="24">
        <f t="shared" si="10"/>
        <v>2296.83340817804</v>
      </c>
      <c r="L40" s="24">
        <f t="shared" si="10"/>
        <v>2197.81233008459</v>
      </c>
      <c r="M40" s="24">
        <f t="shared" si="10"/>
        <v>2098.79125199115</v>
      </c>
      <c r="N40" s="24">
        <f t="shared" si="10"/>
        <v>1999.77017389771</v>
      </c>
      <c r="O40" s="24">
        <f t="shared" si="10"/>
        <v>1900.74909580426</v>
      </c>
      <c r="P40" s="24">
        <f t="shared" si="10"/>
        <v>1801.72801771082</v>
      </c>
      <c r="Q40" s="24">
        <f t="shared" si="10"/>
        <v>1702.70693961737</v>
      </c>
      <c r="R40" s="24">
        <f t="shared" si="10"/>
        <v>1603.68586152393</v>
      </c>
      <c r="S40" s="24">
        <f>ROUNDUP(S37+S38+S39,0)</f>
        <v>1505</v>
      </c>
      <c r="T40" s="24">
        <f t="shared" ref="T40:V40" si="11">ROUNDUP(T37+T38+T39,0)</f>
        <v>0</v>
      </c>
      <c r="U40" s="24">
        <f t="shared" si="11"/>
        <v>0</v>
      </c>
      <c r="V40" s="45">
        <f t="shared" si="11"/>
        <v>0</v>
      </c>
    </row>
    <row r="41" ht="38.25" spans="1:22">
      <c r="A41" s="8">
        <v>2</v>
      </c>
      <c r="B41" s="22" t="s">
        <v>74</v>
      </c>
      <c r="C41" s="20"/>
      <c r="D41" s="20"/>
      <c r="E41" s="20"/>
      <c r="F41" s="20"/>
      <c r="G41" s="24"/>
      <c r="H41" s="24"/>
      <c r="I41" s="24"/>
      <c r="J41" s="24"/>
      <c r="K41" s="24"/>
      <c r="L41" s="24"/>
      <c r="M41" s="24"/>
      <c r="N41" s="24"/>
      <c r="O41" s="24"/>
      <c r="P41" s="24"/>
      <c r="Q41" s="24"/>
      <c r="R41" s="24"/>
      <c r="S41" s="24"/>
      <c r="T41" s="24"/>
      <c r="U41" s="24"/>
      <c r="V41" s="45"/>
    </row>
    <row r="42" spans="1:23">
      <c r="A42" s="12"/>
      <c r="B42" s="25" t="s">
        <v>62</v>
      </c>
      <c r="C42" s="20"/>
      <c r="D42" s="20"/>
      <c r="E42" s="20"/>
      <c r="F42" s="20"/>
      <c r="G42" s="24"/>
      <c r="H42" s="24"/>
      <c r="I42" s="24"/>
      <c r="J42" s="21">
        <f>[1]ImprumutNou!U3</f>
        <v>0</v>
      </c>
      <c r="K42" s="21">
        <f>[1]ImprumutNou!V3</f>
        <v>0</v>
      </c>
      <c r="L42" s="21">
        <f>[1]ImprumutNou!W3</f>
        <v>0</v>
      </c>
      <c r="M42" s="21">
        <f>[1]ImprumutNou!X3</f>
        <v>7505.30309909722</v>
      </c>
      <c r="N42" s="21">
        <f>[1]ImprumutNou!Y3</f>
        <v>1529.46325916666</v>
      </c>
      <c r="O42" s="21">
        <f>[1]ImprumutNou!Z3</f>
        <v>1529.46325916666</v>
      </c>
      <c r="P42" s="21">
        <f>[1]ImprumutNou!AA3</f>
        <v>1529.46325916666</v>
      </c>
      <c r="Q42" s="21">
        <f>[1]ImprumutNou!AB3</f>
        <v>1529.46325916666</v>
      </c>
      <c r="R42" s="21">
        <f>[1]ImprumutNou!AC3</f>
        <v>1529.46325916666</v>
      </c>
      <c r="S42" s="21">
        <f>[1]ImprumutNou!AD3</f>
        <v>1529.46325916666</v>
      </c>
      <c r="T42" s="21">
        <f>[1]ImprumutNou!AE3</f>
        <v>1529.46325916666</v>
      </c>
      <c r="U42" s="21">
        <f>[1]ImprumutNou!AF3</f>
        <v>1529.46325916666</v>
      </c>
      <c r="V42" s="44">
        <f>[1]ImprumutNou!AG3</f>
        <v>1402.00798756944</v>
      </c>
      <c r="W42" s="46"/>
    </row>
    <row r="43" spans="1:22">
      <c r="A43" s="12"/>
      <c r="B43" s="25" t="s">
        <v>63</v>
      </c>
      <c r="C43" s="20"/>
      <c r="D43" s="20"/>
      <c r="E43" s="20"/>
      <c r="F43" s="20"/>
      <c r="G43" s="24"/>
      <c r="H43" s="24"/>
      <c r="I43" s="24"/>
      <c r="J43" s="21">
        <f>[1]ImprumutNou!U4</f>
        <v>0</v>
      </c>
      <c r="K43" s="21">
        <f>[1]ImprumutNou!V4</f>
        <v>275.2634296425</v>
      </c>
      <c r="L43" s="21">
        <f>[1]ImprumutNou!W4</f>
        <v>783.4420689825</v>
      </c>
      <c r="M43" s="21">
        <f>[1]ImprumutNou!X4</f>
        <v>1239.16436453169</v>
      </c>
      <c r="N43" s="21">
        <f>[1]ImprumutNou!Y4</f>
        <v>880.989955570739</v>
      </c>
      <c r="O43" s="21">
        <f>[1]ImprumutNou!Z4</f>
        <v>776.83350762149</v>
      </c>
      <c r="P43" s="21">
        <f>[1]ImprumutNou!AA4</f>
        <v>672.67705967224</v>
      </c>
      <c r="Q43" s="21">
        <f>[1]ImprumutNou!AB4</f>
        <v>568.520611722991</v>
      </c>
      <c r="R43" s="21">
        <f>[1]ImprumutNou!AC4</f>
        <v>464.36416377374</v>
      </c>
      <c r="S43" s="21">
        <f>[1]ImprumutNou!AD4</f>
        <v>360.20771582449</v>
      </c>
      <c r="T43" s="21">
        <f>[1]ImprumutNou!AE4</f>
        <v>256.05126787524</v>
      </c>
      <c r="U43" s="21">
        <f>[1]ImprumutNou!AF4</f>
        <v>151.89481992599</v>
      </c>
      <c r="V43" s="44">
        <f>[1]ImprumutNou!AG4</f>
        <v>47.7383719767405</v>
      </c>
    </row>
    <row r="44" spans="1:22">
      <c r="A44" s="26"/>
      <c r="B44" s="25" t="s">
        <v>64</v>
      </c>
      <c r="C44" s="20"/>
      <c r="D44" s="20"/>
      <c r="E44" s="20"/>
      <c r="F44" s="20"/>
      <c r="G44" s="24"/>
      <c r="H44" s="24"/>
      <c r="I44" s="24"/>
      <c r="J44" s="21">
        <f>[1]ImprumutNou!U5</f>
        <v>52.85754289375</v>
      </c>
      <c r="K44" s="21">
        <f>[1]ImprumutNou!V5</f>
        <v>0</v>
      </c>
      <c r="L44" s="21">
        <f>[1]ImprumutNou!W5</f>
        <v>0</v>
      </c>
      <c r="M44" s="21">
        <f>[1]ImprumutNou!X5</f>
        <v>0</v>
      </c>
      <c r="N44" s="21">
        <f>[1]ImprumutNou!Y5</f>
        <v>0</v>
      </c>
      <c r="O44" s="21">
        <f>[1]ImprumutNou!Z5</f>
        <v>0</v>
      </c>
      <c r="P44" s="21">
        <f>[1]ImprumutNou!AA5</f>
        <v>0</v>
      </c>
      <c r="Q44" s="21">
        <f>[1]ImprumutNou!AB5</f>
        <v>0</v>
      </c>
      <c r="R44" s="21">
        <f>[1]ImprumutNou!AC5</f>
        <v>0</v>
      </c>
      <c r="S44" s="21">
        <f>[1]ImprumutNou!AD5</f>
        <v>0</v>
      </c>
      <c r="T44" s="21">
        <f>[1]ImprumutNou!AE5</f>
        <v>0</v>
      </c>
      <c r="U44" s="21">
        <f>[1]ImprumutNou!AF5</f>
        <v>0</v>
      </c>
      <c r="V44" s="44">
        <f>[1]ImprumutNou!AG5</f>
        <v>0</v>
      </c>
    </row>
    <row r="45" ht="25.5" spans="1:22">
      <c r="A45" s="27">
        <v>3</v>
      </c>
      <c r="B45" s="17" t="s">
        <v>75</v>
      </c>
      <c r="C45" s="18" t="e">
        <f>C46+C47+C48</f>
        <v>#REF!</v>
      </c>
      <c r="D45" s="18">
        <f t="shared" ref="D45:F45" si="12">D46+D47+D48</f>
        <v>3491.75826312375</v>
      </c>
      <c r="E45" s="18">
        <f t="shared" si="12"/>
        <v>4556.26299</v>
      </c>
      <c r="F45" s="18">
        <f t="shared" si="12"/>
        <v>5264.11595</v>
      </c>
      <c r="G45" s="19">
        <f>(G46+G47+G48)</f>
        <v>4223.74821707075</v>
      </c>
      <c r="H45" s="19">
        <f>ROUNDUP(H46+H47+H48,0)</f>
        <v>1950</v>
      </c>
      <c r="I45" s="19">
        <f>ROUNDDOWN(I46+I47+I48,0)</f>
        <v>2674</v>
      </c>
      <c r="J45" s="19">
        <f>J46+J47+J48</f>
        <v>4666.92311474232</v>
      </c>
      <c r="K45" s="19">
        <f t="shared" ref="K45:V45" si="13">K46+K47+K48</f>
        <v>5586.78979914899</v>
      </c>
      <c r="L45" s="19">
        <f t="shared" si="13"/>
        <v>5869.0140279383</v>
      </c>
      <c r="M45" s="19">
        <f t="shared" si="13"/>
        <v>13604.085012034</v>
      </c>
      <c r="N45" s="19">
        <f t="shared" si="13"/>
        <v>7044.11635259182</v>
      </c>
      <c r="O45" s="19">
        <f t="shared" si="13"/>
        <v>6714.00549409188</v>
      </c>
      <c r="P45" s="19">
        <f t="shared" si="13"/>
        <v>6383.89463559194</v>
      </c>
      <c r="Q45" s="19">
        <f t="shared" si="13"/>
        <v>6053.783777092</v>
      </c>
      <c r="R45" s="19">
        <f t="shared" si="13"/>
        <v>5723.67291859206</v>
      </c>
      <c r="S45" s="19">
        <f t="shared" si="13"/>
        <v>5393.62257736806</v>
      </c>
      <c r="T45" s="19">
        <f t="shared" si="13"/>
        <v>1785.5145270419</v>
      </c>
      <c r="U45" s="19">
        <f t="shared" si="13"/>
        <v>1681.35807909265</v>
      </c>
      <c r="V45" s="43">
        <f t="shared" si="13"/>
        <v>1449.74635954618</v>
      </c>
    </row>
    <row r="46" spans="1:22">
      <c r="A46" s="28"/>
      <c r="B46" s="25" t="s">
        <v>76</v>
      </c>
      <c r="C46" s="15" t="e">
        <f>C12+C16+C33</f>
        <v>#REF!</v>
      </c>
      <c r="D46" s="15">
        <f t="shared" ref="D46:F48" si="14">D12+D16+D33+D20+D24</f>
        <v>2410.17167</v>
      </c>
      <c r="E46" s="15">
        <f t="shared" si="14"/>
        <v>3080.58698</v>
      </c>
      <c r="F46" s="15">
        <f t="shared" si="14"/>
        <v>3698.97584</v>
      </c>
      <c r="G46" s="16">
        <f>G12+G16+G33+G20+G24+G29+G37</f>
        <v>3440.21464</v>
      </c>
      <c r="H46" s="16">
        <f>H12+H16+H33+H20+H24+H29+H37</f>
        <v>1099.6354</v>
      </c>
      <c r="I46" s="16">
        <f t="shared" ref="I46:I47" si="15">I12+I16+I33+I20+I24+I29+I37</f>
        <v>1319.56248</v>
      </c>
      <c r="J46" s="16">
        <f>+J33+J29+J37+J42</f>
        <v>2723.43811752977</v>
      </c>
      <c r="K46" s="16">
        <f t="shared" ref="K46:V48" si="16">+K33+K29+K37+K42</f>
        <v>3385.79852027447</v>
      </c>
      <c r="L46" s="16">
        <f t="shared" si="16"/>
        <v>3385.79852027447</v>
      </c>
      <c r="M46" s="16">
        <f t="shared" si="16"/>
        <v>10891.1016193717</v>
      </c>
      <c r="N46" s="16">
        <f t="shared" si="16"/>
        <v>4915.26177944114</v>
      </c>
      <c r="O46" s="16">
        <f t="shared" si="16"/>
        <v>4915.26177944114</v>
      </c>
      <c r="P46" s="16">
        <f t="shared" si="16"/>
        <v>4915.26177944114</v>
      </c>
      <c r="Q46" s="16">
        <f t="shared" si="16"/>
        <v>4915.26177944114</v>
      </c>
      <c r="R46" s="16">
        <f t="shared" si="16"/>
        <v>4915.26177944114</v>
      </c>
      <c r="S46" s="16">
        <f t="shared" si="16"/>
        <v>4915.26309944118</v>
      </c>
      <c r="T46" s="16">
        <f t="shared" si="16"/>
        <v>1529.46325916666</v>
      </c>
      <c r="U46" s="16">
        <f t="shared" si="16"/>
        <v>1529.46325916666</v>
      </c>
      <c r="V46" s="42">
        <f t="shared" si="16"/>
        <v>1402.00798756944</v>
      </c>
    </row>
    <row r="47" spans="1:22">
      <c r="A47" s="28"/>
      <c r="B47" s="25" t="s">
        <v>77</v>
      </c>
      <c r="C47" s="15" t="e">
        <f>C13+C17+C34</f>
        <v>#REF!</v>
      </c>
      <c r="D47" s="15">
        <f t="shared" si="14"/>
        <v>1004.74555</v>
      </c>
      <c r="E47" s="15">
        <f t="shared" si="14"/>
        <v>1417.42022</v>
      </c>
      <c r="F47" s="15">
        <f t="shared" si="14"/>
        <v>1517.52266</v>
      </c>
      <c r="G47" s="16">
        <f>(G13+G17+G34+G21+G25+G30+G38)+1</f>
        <v>708.18489084575</v>
      </c>
      <c r="H47" s="16">
        <f>ROUNDUP(H13+H17+H34+H21+H25+H30+H38,0)</f>
        <v>850</v>
      </c>
      <c r="I47" s="16">
        <f t="shared" si="15"/>
        <v>1355.33607</v>
      </c>
      <c r="J47" s="16">
        <f>+J34+J30+J38+J43</f>
        <v>1890.6274543188</v>
      </c>
      <c r="K47" s="16">
        <f t="shared" si="16"/>
        <v>2200.99127887452</v>
      </c>
      <c r="L47" s="16">
        <f t="shared" si="16"/>
        <v>2483.21550766383</v>
      </c>
      <c r="M47" s="16">
        <f t="shared" si="16"/>
        <v>2712.98339266233</v>
      </c>
      <c r="N47" s="16">
        <f t="shared" si="16"/>
        <v>2128.85457315069</v>
      </c>
      <c r="O47" s="16">
        <f t="shared" si="16"/>
        <v>1798.74371465074</v>
      </c>
      <c r="P47" s="16">
        <f t="shared" si="16"/>
        <v>1468.6328561508</v>
      </c>
      <c r="Q47" s="16">
        <f t="shared" si="16"/>
        <v>1138.52199765086</v>
      </c>
      <c r="R47" s="16">
        <f t="shared" si="16"/>
        <v>808.41113915092</v>
      </c>
      <c r="S47" s="16">
        <f t="shared" si="16"/>
        <v>478.359477926879</v>
      </c>
      <c r="T47" s="16">
        <f t="shared" si="16"/>
        <v>256.05126787524</v>
      </c>
      <c r="U47" s="16">
        <f t="shared" si="16"/>
        <v>151.89481992599</v>
      </c>
      <c r="V47" s="42">
        <f t="shared" si="16"/>
        <v>47.7383719767405</v>
      </c>
    </row>
    <row r="48" ht="15.75" spans="1:22">
      <c r="A48" s="29"/>
      <c r="B48" s="30" t="s">
        <v>78</v>
      </c>
      <c r="C48" s="31" t="e">
        <f>C14+C18+C35</f>
        <v>#REF!</v>
      </c>
      <c r="D48" s="31">
        <f t="shared" si="14"/>
        <v>76.84104312375</v>
      </c>
      <c r="E48" s="31">
        <f t="shared" si="14"/>
        <v>58.25579</v>
      </c>
      <c r="F48" s="31">
        <f t="shared" si="14"/>
        <v>47.61745</v>
      </c>
      <c r="G48" s="32">
        <f>G14+G18+G35+G22+G26+G31+G39-1</f>
        <v>75.348686225</v>
      </c>
      <c r="H48" s="32">
        <f t="shared" ref="H48:I48" si="17">H14+H18+H35+H22+H26+H31+H39</f>
        <v>0</v>
      </c>
      <c r="I48" s="32">
        <f t="shared" si="17"/>
        <v>0</v>
      </c>
      <c r="J48" s="32">
        <f>+J35+J31+J39+J44</f>
        <v>52.85754289375</v>
      </c>
      <c r="K48" s="32">
        <f t="shared" si="16"/>
        <v>0</v>
      </c>
      <c r="L48" s="32">
        <f t="shared" si="16"/>
        <v>0</v>
      </c>
      <c r="M48" s="32">
        <f t="shared" si="16"/>
        <v>0</v>
      </c>
      <c r="N48" s="32">
        <f t="shared" si="16"/>
        <v>0</v>
      </c>
      <c r="O48" s="32">
        <f t="shared" si="16"/>
        <v>0</v>
      </c>
      <c r="P48" s="32">
        <f t="shared" si="16"/>
        <v>0</v>
      </c>
      <c r="Q48" s="32">
        <f t="shared" si="16"/>
        <v>0</v>
      </c>
      <c r="R48" s="32">
        <f t="shared" si="16"/>
        <v>0</v>
      </c>
      <c r="S48" s="32">
        <f t="shared" si="16"/>
        <v>0</v>
      </c>
      <c r="T48" s="32">
        <f t="shared" si="16"/>
        <v>0</v>
      </c>
      <c r="U48" s="32">
        <f t="shared" si="16"/>
        <v>0</v>
      </c>
      <c r="V48" s="47">
        <f t="shared" si="16"/>
        <v>0</v>
      </c>
    </row>
    <row r="49" spans="2:10">
      <c r="B49"/>
      <c r="C49"/>
      <c r="D49"/>
      <c r="E49"/>
      <c r="F49"/>
      <c r="G49"/>
      <c r="H49"/>
      <c r="I49" s="39"/>
      <c r="J49" s="39"/>
    </row>
    <row r="50" spans="2:10">
      <c r="B50" s="33"/>
      <c r="C50" s="33"/>
      <c r="D50" s="33"/>
      <c r="E50" s="33"/>
      <c r="F50" s="33"/>
      <c r="G50" s="33"/>
      <c r="H50" s="33"/>
      <c r="I50" s="33"/>
      <c r="J50" s="33"/>
    </row>
    <row r="51" spans="2:5">
      <c r="B51" s="34"/>
      <c r="C51" s="35"/>
      <c r="D51" s="35"/>
      <c r="E51" s="36"/>
    </row>
    <row r="52" spans="2:21">
      <c r="B52" s="34"/>
      <c r="R52" s="48"/>
      <c r="S52" s="48"/>
      <c r="T52" s="48"/>
      <c r="U52" s="49"/>
    </row>
    <row r="53" spans="2:21">
      <c r="B53" s="37"/>
      <c r="D53" s="37"/>
      <c r="E53" s="37"/>
      <c r="F53" s="37"/>
      <c r="R53" s="50"/>
      <c r="S53" s="50"/>
      <c r="T53" s="50"/>
      <c r="U53" s="50"/>
    </row>
  </sheetData>
  <mergeCells count="9">
    <mergeCell ref="A3:V3"/>
    <mergeCell ref="A4:V4"/>
    <mergeCell ref="A5:V5"/>
    <mergeCell ref="R52:T52"/>
    <mergeCell ref="D53:F53"/>
    <mergeCell ref="R53:T53"/>
    <mergeCell ref="A8:A40"/>
    <mergeCell ref="A41:A44"/>
    <mergeCell ref="A45:A48"/>
  </mergeCells>
  <pageMargins left="0.709722222222222" right="0.159722222222222" top="0.429861111111111" bottom="0.119444444444444" header="0.309722222222222" footer="0.159722222222222"/>
  <pageSetup paperSize="9" scale="85" orientation="landscape" horizontalDpi="600"/>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Anexa1.3imprnou</vt:lpstr>
      <vt:lpstr>Anexa1.4imprnou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Emilia</cp:lastModifiedBy>
  <dcterms:created xsi:type="dcterms:W3CDTF">2024-09-17T11:48:00Z</dcterms:created>
  <dcterms:modified xsi:type="dcterms:W3CDTF">2024-10-08T09:19:48Z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23DA664B9D8941B68817E3C079A39D7B_12</vt:lpwstr>
  </property>
  <property fmtid="{D5CDD505-2E9C-101B-9397-08002B2CF9AE}" pid="3" name="KSOProductBuildVer">
    <vt:lpwstr>1033-12.2.0.18283</vt:lpwstr>
  </property>
</Properties>
</file>